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xl/charts/chart4.xml" ContentType="application/vnd.openxmlformats-officedocument.drawingml.chart+xml"/>
  <Override PartName="/xl/drawings/drawing5.xml" ContentType="application/vnd.openxmlformats-officedocument.drawing+xml"/>
  <Override PartName="/xl/comments5.xml" ContentType="application/vnd.openxmlformats-officedocument.spreadsheetml.comments+xml"/>
  <Override PartName="/xl/charts/chart5.xml" ContentType="application/vnd.openxmlformats-officedocument.drawingml.chart+xml"/>
  <Override PartName="/xl/drawings/drawing6.xml" ContentType="application/vnd.openxmlformats-officedocument.drawing+xml"/>
  <Override PartName="/xl/comments6.xml" ContentType="application/vnd.openxmlformats-officedocument.spreadsheetml.comments+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7.xml" ContentType="application/vnd.openxmlformats-officedocument.drawing+xml"/>
  <Override PartName="/xl/charts/chart10.xml" ContentType="application/vnd.openxmlformats-officedocument.drawingml.chart+xml"/>
  <Override PartName="/xl/drawings/drawing8.xml" ContentType="application/vnd.openxmlformats-officedocument.drawing+xml"/>
  <Override PartName="/xl/charts/chart11.xml" ContentType="application/vnd.openxmlformats-officedocument.drawingml.chart+xml"/>
  <Override PartName="/xl/drawings/drawing9.xml" ContentType="application/vnd.openxmlformats-officedocument.drawing+xml"/>
  <Override PartName="/xl/comments7.xml" ContentType="application/vnd.openxmlformats-officedocument.spreadsheetml.comments+xml"/>
  <Override PartName="/xl/charts/chart12.xml" ContentType="application/vnd.openxmlformats-officedocument.drawingml.chart+xml"/>
  <Override PartName="/xl/drawings/drawing10.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nrnas\Bonneau\Userdata\HoffmanKy\SCDNR\ASMFC\"/>
    </mc:Choice>
  </mc:AlternateContent>
  <xr:revisionPtr revIDLastSave="0" documentId="8_{33351692-E445-4A68-95A0-5A7DB373E706}" xr6:coauthVersionLast="47" xr6:coauthVersionMax="47" xr10:uidLastSave="{00000000-0000-0000-0000-000000000000}"/>
  <bookViews>
    <workbookView xWindow="4980" yWindow="300" windowWidth="18750" windowHeight="13395" xr2:uid="{00000000-000D-0000-FFFF-FFFF00000000}"/>
  </bookViews>
  <sheets>
    <sheet name="VonBert Means" sheetId="1" r:id="rId1"/>
    <sheet name="VonBert Raw Data" sheetId="9" r:id="rId2"/>
    <sheet name="Length_Weight" sheetId="3" r:id="rId3"/>
    <sheet name="Maturity Prob Length" sheetId="2" r:id="rId4"/>
    <sheet name="Maturity Prob Age" sheetId="10" r:id="rId5"/>
    <sheet name="Mortality" sheetId="4" r:id="rId6"/>
    <sheet name="Selectivity" sheetId="5" r:id="rId7"/>
    <sheet name="Using Select to predict" sheetId="11" r:id="rId8"/>
    <sheet name="YPR SSBRPR" sheetId="6" r:id="rId9"/>
    <sheet name="Graphs" sheetId="7" r:id="rId10"/>
  </sheets>
  <definedNames>
    <definedName name="solver_adj" localSheetId="2" hidden="1">Length_Weight!$D$16:$D$17</definedName>
    <definedName name="solver_adj" localSheetId="4" hidden="1">'Maturity Prob Age'!$D$16:$D$17</definedName>
    <definedName name="solver_adj" localSheetId="3" hidden="1">'Maturity Prob Length'!$D$17:$D$18</definedName>
    <definedName name="solver_adj" localSheetId="6" hidden="1">Selectivity!$J$26</definedName>
    <definedName name="solver_adj" localSheetId="7" hidden="1">'Using Select to predict'!#REF!</definedName>
    <definedName name="solver_adj" localSheetId="0" hidden="1">'VonBert Means'!$D$15:$D$17</definedName>
    <definedName name="solver_adj" localSheetId="1" hidden="1">'VonBert Raw Data'!$D$15:$D$17</definedName>
    <definedName name="solver_cvg" localSheetId="2" hidden="1">0.0001</definedName>
    <definedName name="solver_cvg" localSheetId="4" hidden="1">0.0001</definedName>
    <definedName name="solver_cvg" localSheetId="3" hidden="1">0.0001</definedName>
    <definedName name="solver_cvg" localSheetId="6" hidden="1">0.0001</definedName>
    <definedName name="solver_cvg" localSheetId="7" hidden="1">0.0001</definedName>
    <definedName name="solver_cvg" localSheetId="0" hidden="1">0.0001</definedName>
    <definedName name="solver_cvg" localSheetId="1" hidden="1">0.0001</definedName>
    <definedName name="solver_drv" localSheetId="2" hidden="1">1</definedName>
    <definedName name="solver_drv" localSheetId="4" hidden="1">1</definedName>
    <definedName name="solver_drv" localSheetId="3" hidden="1">1</definedName>
    <definedName name="solver_drv" localSheetId="6" hidden="1">1</definedName>
    <definedName name="solver_drv" localSheetId="7" hidden="1">1</definedName>
    <definedName name="solver_drv" localSheetId="0" hidden="1">1</definedName>
    <definedName name="solver_drv" localSheetId="1" hidden="1">1</definedName>
    <definedName name="solver_est" localSheetId="2" hidden="1">1</definedName>
    <definedName name="solver_est" localSheetId="4" hidden="1">1</definedName>
    <definedName name="solver_est" localSheetId="3" hidden="1">1</definedName>
    <definedName name="solver_est" localSheetId="6" hidden="1">1</definedName>
    <definedName name="solver_est" localSheetId="7" hidden="1">1</definedName>
    <definedName name="solver_est" localSheetId="0" hidden="1">1</definedName>
    <definedName name="solver_est" localSheetId="1" hidden="1">1</definedName>
    <definedName name="solver_itr" localSheetId="2" hidden="1">100</definedName>
    <definedName name="solver_itr" localSheetId="4" hidden="1">100</definedName>
    <definedName name="solver_itr" localSheetId="3" hidden="1">100</definedName>
    <definedName name="solver_itr" localSheetId="6" hidden="1">1000</definedName>
    <definedName name="solver_itr" localSheetId="7" hidden="1">1000</definedName>
    <definedName name="solver_itr" localSheetId="0" hidden="1">1000</definedName>
    <definedName name="solver_itr" localSheetId="1" hidden="1">1000</definedName>
    <definedName name="solver_lin" localSheetId="2" hidden="1">2</definedName>
    <definedName name="solver_lin" localSheetId="4" hidden="1">2</definedName>
    <definedName name="solver_lin" localSheetId="3" hidden="1">2</definedName>
    <definedName name="solver_lin" localSheetId="6" hidden="1">2</definedName>
    <definedName name="solver_lin" localSheetId="7" hidden="1">2</definedName>
    <definedName name="solver_lin" localSheetId="0" hidden="1">2</definedName>
    <definedName name="solver_lin" localSheetId="1" hidden="1">2</definedName>
    <definedName name="solver_neg" localSheetId="2" hidden="1">2</definedName>
    <definedName name="solver_neg" localSheetId="4" hidden="1">2</definedName>
    <definedName name="solver_neg" localSheetId="3" hidden="1">2</definedName>
    <definedName name="solver_neg" localSheetId="6" hidden="1">2</definedName>
    <definedName name="solver_neg" localSheetId="7" hidden="1">2</definedName>
    <definedName name="solver_neg" localSheetId="0" hidden="1">2</definedName>
    <definedName name="solver_neg" localSheetId="1" hidden="1">2</definedName>
    <definedName name="solver_num" localSheetId="2" hidden="1">0</definedName>
    <definedName name="solver_num" localSheetId="4" hidden="1">0</definedName>
    <definedName name="solver_num" localSheetId="3" hidden="1">0</definedName>
    <definedName name="solver_num" localSheetId="6" hidden="1">0</definedName>
    <definedName name="solver_num" localSheetId="7" hidden="1">0</definedName>
    <definedName name="solver_num" localSheetId="0" hidden="1">0</definedName>
    <definedName name="solver_num" localSheetId="1" hidden="1">0</definedName>
    <definedName name="solver_nwt" localSheetId="2" hidden="1">1</definedName>
    <definedName name="solver_nwt" localSheetId="4" hidden="1">1</definedName>
    <definedName name="solver_nwt" localSheetId="3" hidden="1">1</definedName>
    <definedName name="solver_nwt" localSheetId="6" hidden="1">1</definedName>
    <definedName name="solver_nwt" localSheetId="7" hidden="1">1</definedName>
    <definedName name="solver_nwt" localSheetId="0" hidden="1">1</definedName>
    <definedName name="solver_nwt" localSheetId="1" hidden="1">1</definedName>
    <definedName name="solver_opt" localSheetId="2" hidden="1">Length_Weight!$G$15</definedName>
    <definedName name="solver_opt" localSheetId="4" hidden="1">'Maturity Prob Age'!$G$15</definedName>
    <definedName name="solver_opt" localSheetId="3" hidden="1">'Maturity Prob Length'!$G$16</definedName>
    <definedName name="solver_opt" localSheetId="6" hidden="1">Selectivity!$I$26</definedName>
    <definedName name="solver_opt" localSheetId="7" hidden="1">'Using Select to predict'!#REF!</definedName>
    <definedName name="solver_opt" localSheetId="0" hidden="1">'VonBert Means'!$E$35</definedName>
    <definedName name="solver_opt" localSheetId="1" hidden="1">'VonBert Raw Data'!$F$14</definedName>
    <definedName name="solver_pre" localSheetId="2" hidden="1">0.000001</definedName>
    <definedName name="solver_pre" localSheetId="4" hidden="1">0.000001</definedName>
    <definedName name="solver_pre" localSheetId="3" hidden="1">0.000001</definedName>
    <definedName name="solver_pre" localSheetId="6" hidden="1">0.000001</definedName>
    <definedName name="solver_pre" localSheetId="7" hidden="1">0.000001</definedName>
    <definedName name="solver_pre" localSheetId="0" hidden="1">0.000001</definedName>
    <definedName name="solver_pre" localSheetId="1" hidden="1">0.000001</definedName>
    <definedName name="solver_scl" localSheetId="2" hidden="1">2</definedName>
    <definedName name="solver_scl" localSheetId="4" hidden="1">2</definedName>
    <definedName name="solver_scl" localSheetId="3" hidden="1">2</definedName>
    <definedName name="solver_scl" localSheetId="6" hidden="1">2</definedName>
    <definedName name="solver_scl" localSheetId="7" hidden="1">2</definedName>
    <definedName name="solver_scl" localSheetId="0" hidden="1">2</definedName>
    <definedName name="solver_scl" localSheetId="1" hidden="1">2</definedName>
    <definedName name="solver_sho" localSheetId="2" hidden="1">2</definedName>
    <definedName name="solver_sho" localSheetId="4" hidden="1">2</definedName>
    <definedName name="solver_sho" localSheetId="3" hidden="1">2</definedName>
    <definedName name="solver_sho" localSheetId="6" hidden="1">2</definedName>
    <definedName name="solver_sho" localSheetId="7" hidden="1">2</definedName>
    <definedName name="solver_sho" localSheetId="0" hidden="1">2</definedName>
    <definedName name="solver_sho" localSheetId="1" hidden="1">2</definedName>
    <definedName name="solver_tim" localSheetId="2" hidden="1">100</definedName>
    <definedName name="solver_tim" localSheetId="4" hidden="1">100</definedName>
    <definedName name="solver_tim" localSheetId="3" hidden="1">100</definedName>
    <definedName name="solver_tim" localSheetId="6" hidden="1">100</definedName>
    <definedName name="solver_tim" localSheetId="7" hidden="1">100</definedName>
    <definedName name="solver_tim" localSheetId="0" hidden="1">100</definedName>
    <definedName name="solver_tim" localSheetId="1" hidden="1">100</definedName>
    <definedName name="solver_tol" localSheetId="2" hidden="1">0.05</definedName>
    <definedName name="solver_tol" localSheetId="4" hidden="1">0.05</definedName>
    <definedName name="solver_tol" localSheetId="3" hidden="1">0.05</definedName>
    <definedName name="solver_tol" localSheetId="6" hidden="1">0.05</definedName>
    <definedName name="solver_tol" localSheetId="7" hidden="1">0.05</definedName>
    <definedName name="solver_tol" localSheetId="0" hidden="1">0.05</definedName>
    <definedName name="solver_tol" localSheetId="1" hidden="1">0.05</definedName>
    <definedName name="solver_typ" localSheetId="2" hidden="1">2</definedName>
    <definedName name="solver_typ" localSheetId="4" hidden="1">2</definedName>
    <definedName name="solver_typ" localSheetId="3" hidden="1">2</definedName>
    <definedName name="solver_typ" localSheetId="6" hidden="1">3</definedName>
    <definedName name="solver_typ" localSheetId="7" hidden="1">3</definedName>
    <definedName name="solver_typ" localSheetId="0" hidden="1">2</definedName>
    <definedName name="solver_typ" localSheetId="1" hidden="1">2</definedName>
    <definedName name="solver_val" localSheetId="2" hidden="1">0</definedName>
    <definedName name="solver_val" localSheetId="4" hidden="1">0</definedName>
    <definedName name="solver_val" localSheetId="3" hidden="1">0</definedName>
    <definedName name="solver_val" localSheetId="6" hidden="1">0.75</definedName>
    <definedName name="solver_val" localSheetId="7" hidden="1">0.75</definedName>
    <definedName name="solver_val" localSheetId="0" hidden="1">0</definedName>
    <definedName name="solver_val" localSheetId="1" hidden="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4" i="6" l="1"/>
  <c r="I85" i="6" s="1"/>
  <c r="G14" i="6"/>
  <c r="G13" i="6"/>
  <c r="D16" i="6"/>
  <c r="D14" i="6"/>
  <c r="D13" i="6"/>
  <c r="B15" i="6"/>
  <c r="B14" i="6"/>
  <c r="B13" i="6"/>
  <c r="H86" i="6"/>
  <c r="H90" i="6"/>
  <c r="H88" i="6"/>
  <c r="D265" i="6"/>
  <c r="D264" i="6"/>
  <c r="D263" i="6"/>
  <c r="D262" i="6"/>
  <c r="D261" i="6"/>
  <c r="D260" i="6"/>
  <c r="D259" i="6"/>
  <c r="D258" i="6"/>
  <c r="D257" i="6"/>
  <c r="D256" i="6"/>
  <c r="D255" i="6"/>
  <c r="D254" i="6"/>
  <c r="D253" i="6"/>
  <c r="D252" i="6"/>
  <c r="D251" i="6"/>
  <c r="D250" i="6"/>
  <c r="D249" i="6"/>
  <c r="D248" i="6"/>
  <c r="D247" i="6"/>
  <c r="D246" i="6"/>
  <c r="D245" i="6"/>
  <c r="D244" i="6"/>
  <c r="D243" i="6"/>
  <c r="D242" i="6"/>
  <c r="D241" i="6"/>
  <c r="D240" i="6"/>
  <c r="D239" i="6"/>
  <c r="D238" i="6"/>
  <c r="D237" i="6"/>
  <c r="D236" i="6"/>
  <c r="D235" i="6"/>
  <c r="D234" i="6"/>
  <c r="D233" i="6"/>
  <c r="D232" i="6"/>
  <c r="D231" i="6"/>
  <c r="D230" i="6"/>
  <c r="D229" i="6"/>
  <c r="D228" i="6"/>
  <c r="D227" i="6"/>
  <c r="D226" i="6"/>
  <c r="D225" i="6"/>
  <c r="D224" i="6"/>
  <c r="D223" i="6"/>
  <c r="D222" i="6"/>
  <c r="D221" i="6"/>
  <c r="D220" i="6"/>
  <c r="D219" i="6"/>
  <c r="D218" i="6"/>
  <c r="D217" i="6"/>
  <c r="D216" i="6"/>
  <c r="D215" i="6"/>
  <c r="D214" i="6"/>
  <c r="D213" i="6"/>
  <c r="D212" i="6"/>
  <c r="D211" i="6"/>
  <c r="D210" i="6"/>
  <c r="D209" i="6"/>
  <c r="D208" i="6"/>
  <c r="D207" i="6"/>
  <c r="D206" i="6"/>
  <c r="D205" i="6"/>
  <c r="D204"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H83" i="6" s="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E15" i="11"/>
  <c r="E25" i="11" s="1"/>
  <c r="I27" i="5"/>
  <c r="I26" i="5"/>
  <c r="D27" i="5"/>
  <c r="D26" i="5"/>
  <c r="J28" i="5"/>
  <c r="E28" i="5"/>
  <c r="J25" i="5"/>
  <c r="E25" i="5"/>
  <c r="I35" i="5"/>
  <c r="I36" i="5"/>
  <c r="I37" i="5"/>
  <c r="I38" i="5"/>
  <c r="I39" i="5"/>
  <c r="I40" i="5"/>
  <c r="I41" i="5"/>
  <c r="I42" i="5"/>
  <c r="I43" i="5"/>
  <c r="I44" i="5"/>
  <c r="I45" i="5"/>
  <c r="I46" i="5"/>
  <c r="I47" i="5"/>
  <c r="I48" i="5"/>
  <c r="I49" i="5"/>
  <c r="I50" i="5"/>
  <c r="I51" i="5"/>
  <c r="I52" i="5"/>
  <c r="I53" i="5"/>
  <c r="I34" i="5"/>
  <c r="D35" i="5"/>
  <c r="D36" i="5"/>
  <c r="D37" i="5"/>
  <c r="D38" i="5"/>
  <c r="D39" i="5"/>
  <c r="D40" i="5"/>
  <c r="D41" i="5"/>
  <c r="D42" i="5"/>
  <c r="D43" i="5"/>
  <c r="D44" i="5"/>
  <c r="D45" i="5"/>
  <c r="D46" i="5"/>
  <c r="D47" i="5"/>
  <c r="D48" i="5"/>
  <c r="D49" i="5"/>
  <c r="D50" i="5"/>
  <c r="D51" i="5"/>
  <c r="D52" i="5"/>
  <c r="D53" i="5"/>
  <c r="D34" i="5"/>
  <c r="I15" i="4"/>
  <c r="B16" i="6" s="1"/>
  <c r="G15" i="4"/>
  <c r="B15" i="4"/>
  <c r="D15" i="4" s="1"/>
  <c r="H42" i="10"/>
  <c r="H43" i="10"/>
  <c r="H44" i="10"/>
  <c r="H45" i="10"/>
  <c r="H46" i="10"/>
  <c r="H47" i="10"/>
  <c r="H48" i="10"/>
  <c r="H49" i="10"/>
  <c r="H50" i="10"/>
  <c r="H51" i="10"/>
  <c r="H52" i="10"/>
  <c r="H53" i="10"/>
  <c r="H54" i="10"/>
  <c r="H55" i="10"/>
  <c r="H56" i="10"/>
  <c r="H57" i="10"/>
  <c r="H58" i="10"/>
  <c r="H59" i="10"/>
  <c r="H60" i="10"/>
  <c r="H61" i="10"/>
  <c r="H23" i="10"/>
  <c r="H24" i="10"/>
  <c r="H25" i="10"/>
  <c r="H26" i="10"/>
  <c r="H27" i="10"/>
  <c r="H28" i="10"/>
  <c r="H29" i="10"/>
  <c r="H30" i="10"/>
  <c r="H31" i="10"/>
  <c r="H32" i="10"/>
  <c r="H33" i="10"/>
  <c r="H34" i="10"/>
  <c r="H35" i="10"/>
  <c r="H36" i="10"/>
  <c r="H37" i="10"/>
  <c r="H38" i="10"/>
  <c r="H39" i="10"/>
  <c r="H40" i="10"/>
  <c r="H41" i="10"/>
  <c r="D31" i="10"/>
  <c r="E31" i="10" s="1"/>
  <c r="D30" i="10"/>
  <c r="E30" i="10" s="1"/>
  <c r="D29" i="10"/>
  <c r="E29" i="10" s="1"/>
  <c r="D28" i="10"/>
  <c r="E28" i="10" s="1"/>
  <c r="D27" i="10"/>
  <c r="E27" i="10" s="1"/>
  <c r="D26" i="10"/>
  <c r="E26" i="10" s="1"/>
  <c r="D25" i="10"/>
  <c r="E25" i="10" s="1"/>
  <c r="D24" i="10"/>
  <c r="E24" i="10" s="1"/>
  <c r="D23" i="10"/>
  <c r="E23" i="10" s="1"/>
  <c r="H22" i="10"/>
  <c r="D22" i="10"/>
  <c r="E22" i="10" s="1"/>
  <c r="H21" i="10"/>
  <c r="D21" i="10"/>
  <c r="E21" i="10" s="1"/>
  <c r="H23" i="2"/>
  <c r="H24" i="2"/>
  <c r="H25" i="2"/>
  <c r="H26" i="2"/>
  <c r="H27" i="2"/>
  <c r="H28" i="2"/>
  <c r="H29" i="2"/>
  <c r="H30" i="2"/>
  <c r="H31" i="2"/>
  <c r="H32" i="2"/>
  <c r="H33" i="2"/>
  <c r="H34" i="2"/>
  <c r="H35" i="2"/>
  <c r="H36" i="2"/>
  <c r="H37" i="2"/>
  <c r="H38" i="2"/>
  <c r="H39" i="2"/>
  <c r="H40" i="2"/>
  <c r="H41" i="2"/>
  <c r="H42" i="2"/>
  <c r="H43" i="2"/>
  <c r="H44" i="2"/>
  <c r="H45" i="2"/>
  <c r="H46" i="2"/>
  <c r="H47" i="2"/>
  <c r="H48" i="2"/>
  <c r="H22" i="2"/>
  <c r="D23" i="2"/>
  <c r="D24" i="2"/>
  <c r="D25" i="2"/>
  <c r="D26" i="2"/>
  <c r="D27" i="2"/>
  <c r="D28" i="2"/>
  <c r="D29" i="2"/>
  <c r="D30" i="2"/>
  <c r="D31" i="2"/>
  <c r="D32" i="2"/>
  <c r="D22" i="2"/>
  <c r="H32" i="3"/>
  <c r="H33" i="3"/>
  <c r="H34" i="3"/>
  <c r="H35" i="3"/>
  <c r="H36" i="3"/>
  <c r="H37" i="3"/>
  <c r="H38" i="3"/>
  <c r="H39" i="3"/>
  <c r="H40" i="3"/>
  <c r="H31" i="3"/>
  <c r="H22" i="3"/>
  <c r="H23" i="3"/>
  <c r="H24" i="3"/>
  <c r="H25" i="3"/>
  <c r="H26" i="3"/>
  <c r="H27" i="3"/>
  <c r="H28" i="3"/>
  <c r="H29" i="3"/>
  <c r="H30" i="3"/>
  <c r="H21" i="3"/>
  <c r="D22" i="3"/>
  <c r="D23" i="3"/>
  <c r="D24" i="3"/>
  <c r="D25" i="3"/>
  <c r="D26" i="3"/>
  <c r="D27" i="3"/>
  <c r="D28" i="3"/>
  <c r="D29" i="3"/>
  <c r="D30" i="3"/>
  <c r="D31" i="3"/>
  <c r="D32" i="3"/>
  <c r="D33" i="3"/>
  <c r="D34" i="3"/>
  <c r="D21" i="3"/>
  <c r="I38" i="9"/>
  <c r="I39" i="9"/>
  <c r="I40" i="9"/>
  <c r="I41" i="9"/>
  <c r="I42" i="9"/>
  <c r="I43" i="9"/>
  <c r="I44" i="9"/>
  <c r="I45" i="9"/>
  <c r="I46" i="9"/>
  <c r="I47" i="9"/>
  <c r="I48" i="9"/>
  <c r="I49" i="9"/>
  <c r="I50" i="9"/>
  <c r="I51" i="9"/>
  <c r="I52" i="9"/>
  <c r="I53" i="9"/>
  <c r="D99" i="9"/>
  <c r="E99" i="9" s="1"/>
  <c r="D98" i="9"/>
  <c r="E98" i="9" s="1"/>
  <c r="D97" i="9"/>
  <c r="E97" i="9" s="1"/>
  <c r="D96" i="9"/>
  <c r="E96" i="9" s="1"/>
  <c r="D95" i="9"/>
  <c r="E95" i="9" s="1"/>
  <c r="D94" i="9"/>
  <c r="E94" i="9" s="1"/>
  <c r="D93" i="9"/>
  <c r="E93" i="9" s="1"/>
  <c r="D92" i="9"/>
  <c r="E92" i="9" s="1"/>
  <c r="D91" i="9"/>
  <c r="E91" i="9" s="1"/>
  <c r="D90" i="9"/>
  <c r="E90" i="9" s="1"/>
  <c r="D89" i="9"/>
  <c r="E89" i="9" s="1"/>
  <c r="D88" i="9"/>
  <c r="E88" i="9" s="1"/>
  <c r="D87" i="9"/>
  <c r="E87" i="9" s="1"/>
  <c r="D86" i="9"/>
  <c r="E86" i="9" s="1"/>
  <c r="D85" i="9"/>
  <c r="E85" i="9" s="1"/>
  <c r="D84" i="9"/>
  <c r="E84" i="9" s="1"/>
  <c r="D83" i="9"/>
  <c r="E83" i="9" s="1"/>
  <c r="D82" i="9"/>
  <c r="E82" i="9" s="1"/>
  <c r="D81" i="9"/>
  <c r="E81" i="9" s="1"/>
  <c r="D80" i="9"/>
  <c r="E80" i="9" s="1"/>
  <c r="D79" i="9"/>
  <c r="E79" i="9" s="1"/>
  <c r="D78" i="9"/>
  <c r="E78" i="9" s="1"/>
  <c r="D77" i="9"/>
  <c r="E77" i="9" s="1"/>
  <c r="D76" i="9"/>
  <c r="E76" i="9" s="1"/>
  <c r="D75" i="9"/>
  <c r="E75" i="9" s="1"/>
  <c r="D74" i="9"/>
  <c r="E74" i="9" s="1"/>
  <c r="D73" i="9"/>
  <c r="E73" i="9" s="1"/>
  <c r="D72" i="9"/>
  <c r="E72" i="9" s="1"/>
  <c r="D71" i="9"/>
  <c r="E71" i="9" s="1"/>
  <c r="D70" i="9"/>
  <c r="E70" i="9" s="1"/>
  <c r="D69" i="9"/>
  <c r="E69" i="9" s="1"/>
  <c r="D68" i="9"/>
  <c r="E68" i="9" s="1"/>
  <c r="D67" i="9"/>
  <c r="E67" i="9" s="1"/>
  <c r="D66" i="9"/>
  <c r="E66" i="9" s="1"/>
  <c r="D65" i="9"/>
  <c r="E65" i="9" s="1"/>
  <c r="D64" i="9"/>
  <c r="E64" i="9" s="1"/>
  <c r="D63" i="9"/>
  <c r="E63" i="9" s="1"/>
  <c r="D62" i="9"/>
  <c r="E62" i="9" s="1"/>
  <c r="D61" i="9"/>
  <c r="E61" i="9" s="1"/>
  <c r="D60" i="9"/>
  <c r="E60" i="9" s="1"/>
  <c r="D59" i="9"/>
  <c r="E59" i="9" s="1"/>
  <c r="D58" i="9"/>
  <c r="E58" i="9" s="1"/>
  <c r="D57" i="9"/>
  <c r="E57" i="9" s="1"/>
  <c r="D56" i="9"/>
  <c r="E56" i="9" s="1"/>
  <c r="D55" i="9"/>
  <c r="E55" i="9" s="1"/>
  <c r="D54" i="9"/>
  <c r="E54" i="9" s="1"/>
  <c r="D53" i="9"/>
  <c r="E53" i="9" s="1"/>
  <c r="D52" i="9"/>
  <c r="E52" i="9" s="1"/>
  <c r="D51" i="9"/>
  <c r="E51" i="9" s="1"/>
  <c r="D50" i="9"/>
  <c r="E50" i="9" s="1"/>
  <c r="D49" i="9"/>
  <c r="E49" i="9" s="1"/>
  <c r="D48" i="9"/>
  <c r="E48" i="9" s="1"/>
  <c r="D47" i="9"/>
  <c r="E47" i="9" s="1"/>
  <c r="D46" i="9"/>
  <c r="E46" i="9" s="1"/>
  <c r="D45" i="9"/>
  <c r="E45" i="9" s="1"/>
  <c r="D44" i="9"/>
  <c r="E44" i="9" s="1"/>
  <c r="D43" i="9"/>
  <c r="E43" i="9" s="1"/>
  <c r="D42" i="9"/>
  <c r="E42" i="9" s="1"/>
  <c r="D41" i="9"/>
  <c r="E41" i="9" s="1"/>
  <c r="D40" i="9"/>
  <c r="E40" i="9" s="1"/>
  <c r="D39" i="9"/>
  <c r="E39" i="9" s="1"/>
  <c r="D38" i="9"/>
  <c r="E38" i="9" s="1"/>
  <c r="D37" i="9"/>
  <c r="E37" i="9" s="1"/>
  <c r="D36" i="9"/>
  <c r="E36" i="9" s="1"/>
  <c r="D35" i="9"/>
  <c r="E35" i="9" s="1"/>
  <c r="I37" i="9"/>
  <c r="I36" i="9"/>
  <c r="I35" i="9"/>
  <c r="I34" i="9"/>
  <c r="D34" i="9"/>
  <c r="E34" i="9" s="1"/>
  <c r="I33" i="9"/>
  <c r="D33" i="9"/>
  <c r="E33" i="9" s="1"/>
  <c r="I32" i="9"/>
  <c r="D32" i="9"/>
  <c r="E32" i="9" s="1"/>
  <c r="I31" i="9"/>
  <c r="D31" i="9"/>
  <c r="E31" i="9" s="1"/>
  <c r="I30" i="9"/>
  <c r="D30" i="9"/>
  <c r="E30" i="9" s="1"/>
  <c r="I29" i="9"/>
  <c r="D29" i="9"/>
  <c r="E29" i="9" s="1"/>
  <c r="I28" i="9"/>
  <c r="D28" i="9"/>
  <c r="E28" i="9" s="1"/>
  <c r="I27" i="9"/>
  <c r="D27" i="9"/>
  <c r="E27" i="9" s="1"/>
  <c r="I26" i="9"/>
  <c r="D26" i="9"/>
  <c r="E26" i="9" s="1"/>
  <c r="I25" i="9"/>
  <c r="D25" i="9"/>
  <c r="E25" i="9" s="1"/>
  <c r="I24" i="9"/>
  <c r="D24" i="9"/>
  <c r="E24" i="9" s="1"/>
  <c r="I23" i="9"/>
  <c r="D23" i="9"/>
  <c r="E23" i="9" s="1"/>
  <c r="I22" i="9"/>
  <c r="D22" i="9"/>
  <c r="E22" i="9" s="1"/>
  <c r="I21" i="9"/>
  <c r="D21" i="9"/>
  <c r="E21" i="9" s="1"/>
  <c r="E23" i="11" l="1"/>
  <c r="H85" i="6"/>
  <c r="H84" i="6"/>
  <c r="E54" i="11"/>
  <c r="E52" i="11"/>
  <c r="E50" i="11"/>
  <c r="E48" i="11"/>
  <c r="E46" i="11"/>
  <c r="E44" i="11"/>
  <c r="E42" i="11"/>
  <c r="E40" i="11"/>
  <c r="E38" i="11"/>
  <c r="E36" i="11"/>
  <c r="E34" i="11"/>
  <c r="E32" i="11"/>
  <c r="E30" i="11"/>
  <c r="E28" i="11"/>
  <c r="E26" i="11"/>
  <c r="E24" i="11"/>
  <c r="E53" i="11"/>
  <c r="E51" i="11"/>
  <c r="E49" i="11"/>
  <c r="E47" i="11"/>
  <c r="E45" i="11"/>
  <c r="E43" i="11"/>
  <c r="E41" i="11"/>
  <c r="E39" i="11"/>
  <c r="E37" i="11"/>
  <c r="E35" i="11"/>
  <c r="E33" i="11"/>
  <c r="E31" i="11"/>
  <c r="E29" i="11"/>
  <c r="E27" i="11"/>
  <c r="E17" i="11"/>
  <c r="E16" i="11"/>
  <c r="E18" i="11"/>
  <c r="G15" i="10"/>
  <c r="F14" i="9"/>
  <c r="E100" i="9"/>
  <c r="E19" i="11" l="1"/>
  <c r="I21" i="1"/>
  <c r="I22" i="1"/>
  <c r="I23" i="1"/>
  <c r="I24" i="1"/>
  <c r="I25" i="1"/>
  <c r="I26" i="1"/>
  <c r="I27" i="1"/>
  <c r="I28" i="1"/>
  <c r="I29" i="1"/>
  <c r="I30" i="1"/>
  <c r="I31" i="1"/>
  <c r="I32" i="1"/>
  <c r="I33" i="1"/>
  <c r="I34" i="1"/>
  <c r="I35" i="1"/>
  <c r="I36" i="1"/>
  <c r="I37" i="1"/>
  <c r="J52" i="5"/>
  <c r="J53" i="5"/>
  <c r="E52" i="5"/>
  <c r="E53" i="5"/>
  <c r="J34" i="5"/>
  <c r="J35" i="5"/>
  <c r="J36" i="5"/>
  <c r="J37" i="5"/>
  <c r="J38" i="5"/>
  <c r="J39" i="5"/>
  <c r="E34" i="5"/>
  <c r="E35" i="5"/>
  <c r="E36" i="5"/>
  <c r="E37" i="5"/>
  <c r="E38" i="5"/>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H81" i="6"/>
  <c r="H82" i="6" s="1"/>
  <c r="E72" i="6"/>
  <c r="E71" i="6"/>
  <c r="E70" i="6"/>
  <c r="E69" i="6"/>
  <c r="E68" i="6"/>
  <c r="E67" i="6"/>
  <c r="E66" i="6"/>
  <c r="E65" i="6"/>
  <c r="B59" i="6"/>
  <c r="H59" i="6" s="1"/>
  <c r="B58" i="6"/>
  <c r="H58" i="6" s="1"/>
  <c r="B57" i="6"/>
  <c r="H57" i="6" s="1"/>
  <c r="B56" i="6"/>
  <c r="H56" i="6" s="1"/>
  <c r="B55" i="6"/>
  <c r="H55" i="6" s="1"/>
  <c r="B54" i="6"/>
  <c r="H54" i="6" s="1"/>
  <c r="B53" i="6"/>
  <c r="H53" i="6" s="1"/>
  <c r="B52" i="6"/>
  <c r="H52" i="6" s="1"/>
  <c r="B51" i="6"/>
  <c r="H51" i="6" s="1"/>
  <c r="B50" i="6"/>
  <c r="H50" i="6" s="1"/>
  <c r="B49" i="6"/>
  <c r="H49" i="6" s="1"/>
  <c r="B48" i="6"/>
  <c r="H48" i="6" s="1"/>
  <c r="B47" i="6"/>
  <c r="H47" i="6" s="1"/>
  <c r="B46" i="6"/>
  <c r="H46" i="6" s="1"/>
  <c r="B45" i="6"/>
  <c r="H45" i="6" s="1"/>
  <c r="B44" i="6"/>
  <c r="H44" i="6" s="1"/>
  <c r="B43" i="6"/>
  <c r="H43" i="6" s="1"/>
  <c r="B42" i="6"/>
  <c r="H42" i="6" s="1"/>
  <c r="B41" i="6"/>
  <c r="H41" i="6" s="1"/>
  <c r="B40" i="6"/>
  <c r="H40" i="6" s="1"/>
  <c r="B39" i="6"/>
  <c r="H39" i="6" s="1"/>
  <c r="B38" i="6"/>
  <c r="H38" i="6" s="1"/>
  <c r="B37" i="6"/>
  <c r="H37" i="6" s="1"/>
  <c r="B36" i="6"/>
  <c r="H36" i="6" s="1"/>
  <c r="B35" i="6"/>
  <c r="H35" i="6" s="1"/>
  <c r="B34" i="6"/>
  <c r="H34" i="6" s="1"/>
  <c r="B33" i="6"/>
  <c r="H33" i="6" s="1"/>
  <c r="B32" i="6"/>
  <c r="H32" i="6" s="1"/>
  <c r="B31" i="6"/>
  <c r="H31" i="6" s="1"/>
  <c r="B30" i="6"/>
  <c r="H30" i="6" s="1"/>
  <c r="B29" i="6"/>
  <c r="H29" i="6" s="1"/>
  <c r="B28" i="6"/>
  <c r="H28" i="6" s="1"/>
  <c r="B27" i="6"/>
  <c r="H27" i="6" s="1"/>
  <c r="B26" i="6"/>
  <c r="H26" i="6" s="1"/>
  <c r="B25" i="6"/>
  <c r="H25" i="6" s="1"/>
  <c r="B24" i="6"/>
  <c r="H24" i="6" s="1"/>
  <c r="B23" i="6"/>
  <c r="H23" i="6" s="1"/>
  <c r="B22" i="6"/>
  <c r="H22" i="6" s="1"/>
  <c r="B21" i="6"/>
  <c r="H21" i="6" s="1"/>
  <c r="B20" i="6"/>
  <c r="H20" i="6" s="1"/>
  <c r="E19" i="6"/>
  <c r="B19" i="6"/>
  <c r="H19" i="6" s="1"/>
  <c r="G12" i="6"/>
  <c r="E59" i="6" l="1"/>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C19" i="6"/>
  <c r="F19" i="6" s="1"/>
  <c r="G19" i="6" s="1"/>
  <c r="I19" i="6"/>
  <c r="I20" i="6" s="1"/>
  <c r="C20" i="6"/>
  <c r="E20" i="6"/>
  <c r="C21" i="6"/>
  <c r="E21" i="6"/>
  <c r="C22" i="6"/>
  <c r="E22" i="6"/>
  <c r="C23" i="6"/>
  <c r="E23" i="6"/>
  <c r="C24" i="6"/>
  <c r="E24" i="6"/>
  <c r="C25" i="6"/>
  <c r="E25" i="6"/>
  <c r="C26" i="6"/>
  <c r="E26" i="6"/>
  <c r="C27" i="6"/>
  <c r="E27" i="6"/>
  <c r="C28" i="6"/>
  <c r="E28" i="6"/>
  <c r="C29" i="6"/>
  <c r="C30" i="6"/>
  <c r="C31" i="6"/>
  <c r="C32" i="6"/>
  <c r="C33" i="6"/>
  <c r="C34" i="6"/>
  <c r="C35" i="6"/>
  <c r="C36" i="6"/>
  <c r="C37" i="6"/>
  <c r="C38" i="6"/>
  <c r="C39" i="6"/>
  <c r="C40" i="6"/>
  <c r="C41" i="6"/>
  <c r="F41" i="6" s="1"/>
  <c r="G41" i="6" s="1"/>
  <c r="C42" i="6"/>
  <c r="C43" i="6"/>
  <c r="F43" i="6" s="1"/>
  <c r="G43" i="6" s="1"/>
  <c r="C44" i="6"/>
  <c r="C45" i="6"/>
  <c r="F45" i="6" s="1"/>
  <c r="G45" i="6" s="1"/>
  <c r="C46" i="6"/>
  <c r="C47" i="6"/>
  <c r="F47" i="6" s="1"/>
  <c r="G47" i="6" s="1"/>
  <c r="C48" i="6"/>
  <c r="C49" i="6"/>
  <c r="F49" i="6" s="1"/>
  <c r="G49" i="6" s="1"/>
  <c r="C50" i="6"/>
  <c r="C51" i="6"/>
  <c r="F51" i="6" s="1"/>
  <c r="G51" i="6" s="1"/>
  <c r="C52" i="6"/>
  <c r="C53" i="6"/>
  <c r="F53" i="6" s="1"/>
  <c r="G53" i="6" s="1"/>
  <c r="C54" i="6"/>
  <c r="C55" i="6"/>
  <c r="F55" i="6" s="1"/>
  <c r="G55" i="6" s="1"/>
  <c r="C56" i="6"/>
  <c r="C57" i="6"/>
  <c r="F57" i="6" s="1"/>
  <c r="G57" i="6" s="1"/>
  <c r="C58" i="6"/>
  <c r="C59" i="6"/>
  <c r="F59" i="6" s="1"/>
  <c r="G59" i="6" s="1"/>
  <c r="F58" i="6" l="1"/>
  <c r="G58" i="6" s="1"/>
  <c r="F56" i="6"/>
  <c r="G56" i="6" s="1"/>
  <c r="F54" i="6"/>
  <c r="G54" i="6" s="1"/>
  <c r="F52" i="6"/>
  <c r="G52" i="6" s="1"/>
  <c r="F50" i="6"/>
  <c r="G50" i="6" s="1"/>
  <c r="F48" i="6"/>
  <c r="G48" i="6" s="1"/>
  <c r="F46" i="6"/>
  <c r="G46" i="6" s="1"/>
  <c r="F44" i="6"/>
  <c r="G44" i="6" s="1"/>
  <c r="F42" i="6"/>
  <c r="G42" i="6" s="1"/>
  <c r="I21" i="6"/>
  <c r="J20" i="6" s="1"/>
  <c r="K20" i="6"/>
  <c r="F28" i="6"/>
  <c r="G28" i="6" s="1"/>
  <c r="F26" i="6"/>
  <c r="G26" i="6" s="1"/>
  <c r="F24" i="6"/>
  <c r="G24" i="6" s="1"/>
  <c r="F22" i="6"/>
  <c r="G22" i="6" s="1"/>
  <c r="F20" i="6"/>
  <c r="G20" i="6" s="1"/>
  <c r="F38" i="6"/>
  <c r="G38" i="6" s="1"/>
  <c r="F39" i="6"/>
  <c r="G39" i="6" s="1"/>
  <c r="F27" i="6"/>
  <c r="G27" i="6" s="1"/>
  <c r="F25" i="6"/>
  <c r="G25" i="6" s="1"/>
  <c r="F23" i="6"/>
  <c r="G23" i="6" s="1"/>
  <c r="F21" i="6"/>
  <c r="G21" i="6" s="1"/>
  <c r="F40" i="6"/>
  <c r="G40" i="6" s="1"/>
  <c r="F29" i="6"/>
  <c r="G29" i="6" s="1"/>
  <c r="F30" i="6"/>
  <c r="G30" i="6" s="1"/>
  <c r="F31" i="6"/>
  <c r="G31" i="6" s="1"/>
  <c r="F32" i="6"/>
  <c r="G32" i="6" s="1"/>
  <c r="F33" i="6"/>
  <c r="G33" i="6" s="1"/>
  <c r="F34" i="6"/>
  <c r="G34" i="6" s="1"/>
  <c r="F35" i="6"/>
  <c r="G35" i="6" s="1"/>
  <c r="F36" i="6"/>
  <c r="G36" i="6" s="1"/>
  <c r="F37" i="6"/>
  <c r="G37" i="6" s="1"/>
  <c r="K19" i="6"/>
  <c r="J19" i="6"/>
  <c r="I22" i="6" l="1"/>
  <c r="K21" i="6"/>
  <c r="I23" i="6" l="1"/>
  <c r="J22" i="6" s="1"/>
  <c r="K22" i="6"/>
  <c r="J21" i="6"/>
  <c r="I24" i="6" l="1"/>
  <c r="J23" i="6" s="1"/>
  <c r="K23" i="6"/>
  <c r="I25" i="6" l="1"/>
  <c r="J24" i="6" s="1"/>
  <c r="K24" i="6"/>
  <c r="I26" i="6" l="1"/>
  <c r="J25" i="6" s="1"/>
  <c r="K25" i="6"/>
  <c r="I27" i="6" l="1"/>
  <c r="J26" i="6" s="1"/>
  <c r="K26" i="6"/>
  <c r="I28" i="6" l="1"/>
  <c r="J27" i="6" s="1"/>
  <c r="K27" i="6"/>
  <c r="I29" i="6" l="1"/>
  <c r="J28" i="6" s="1"/>
  <c r="K28" i="6"/>
  <c r="I30" i="6" l="1"/>
  <c r="J29" i="6" s="1"/>
  <c r="K29" i="6"/>
  <c r="I31" i="6" l="1"/>
  <c r="K30" i="6"/>
  <c r="J30" i="6"/>
  <c r="J41" i="5"/>
  <c r="J42" i="5"/>
  <c r="J43" i="5"/>
  <c r="J44" i="5"/>
  <c r="J45" i="5"/>
  <c r="J46" i="5"/>
  <c r="J47" i="5"/>
  <c r="J48" i="5"/>
  <c r="J49" i="5"/>
  <c r="J50" i="5"/>
  <c r="J51" i="5"/>
  <c r="J40" i="5"/>
  <c r="E40" i="5"/>
  <c r="E41" i="5"/>
  <c r="E42" i="5"/>
  <c r="E43" i="5"/>
  <c r="E44" i="5"/>
  <c r="E45" i="5"/>
  <c r="E46" i="5"/>
  <c r="E47" i="5"/>
  <c r="E48" i="5"/>
  <c r="E49" i="5"/>
  <c r="E50" i="5"/>
  <c r="E51" i="5"/>
  <c r="E39" i="5"/>
  <c r="J25" i="4"/>
  <c r="J24" i="4"/>
  <c r="J23" i="4"/>
  <c r="J22" i="4"/>
  <c r="J21" i="4"/>
  <c r="J20" i="4"/>
  <c r="J19" i="4"/>
  <c r="E23" i="2"/>
  <c r="E24" i="2"/>
  <c r="E25" i="2"/>
  <c r="E26" i="2"/>
  <c r="E27" i="2"/>
  <c r="E28" i="2"/>
  <c r="E29" i="2"/>
  <c r="E30" i="2"/>
  <c r="E31" i="2"/>
  <c r="E32" i="2"/>
  <c r="E22" i="2"/>
  <c r="E20" i="4"/>
  <c r="E21" i="4"/>
  <c r="E22" i="4"/>
  <c r="E23" i="4"/>
  <c r="E24" i="4"/>
  <c r="E25" i="4"/>
  <c r="E19" i="4"/>
  <c r="E22" i="3"/>
  <c r="E23" i="3"/>
  <c r="E24" i="3"/>
  <c r="E25" i="3"/>
  <c r="E26" i="3"/>
  <c r="E27" i="3"/>
  <c r="E28" i="3"/>
  <c r="E29" i="3"/>
  <c r="E30" i="3"/>
  <c r="E31" i="3"/>
  <c r="E32" i="3"/>
  <c r="E33" i="3"/>
  <c r="E34" i="3"/>
  <c r="E21" i="3"/>
  <c r="D22" i="1"/>
  <c r="D23" i="1"/>
  <c r="D24" i="1"/>
  <c r="E24" i="1" s="1"/>
  <c r="D25" i="1"/>
  <c r="E25" i="1" s="1"/>
  <c r="D26" i="1"/>
  <c r="E26" i="1" s="1"/>
  <c r="D27" i="1"/>
  <c r="E27" i="1" s="1"/>
  <c r="D28" i="1"/>
  <c r="E28" i="1" s="1"/>
  <c r="D29" i="1"/>
  <c r="E29" i="1" s="1"/>
  <c r="D30" i="1"/>
  <c r="E30" i="1" s="1"/>
  <c r="D31" i="1"/>
  <c r="E31" i="1" s="1"/>
  <c r="D32" i="1"/>
  <c r="D33" i="1"/>
  <c r="E33" i="1" s="1"/>
  <c r="D34" i="1"/>
  <c r="E34" i="1" s="1"/>
  <c r="E32" i="1"/>
  <c r="D21" i="1"/>
  <c r="E21" i="1" s="1"/>
  <c r="E22" i="1"/>
  <c r="E23" i="1"/>
  <c r="F14" i="1" l="1"/>
  <c r="I32" i="6"/>
  <c r="J31" i="6" s="1"/>
  <c r="K31" i="6"/>
  <c r="G22" i="5"/>
  <c r="B22" i="5"/>
  <c r="G16" i="2"/>
  <c r="G15" i="3"/>
  <c r="E35" i="1"/>
  <c r="I33" i="6" l="1"/>
  <c r="J32" i="6" s="1"/>
  <c r="K32" i="6"/>
  <c r="I34" i="6" l="1"/>
  <c r="J33" i="6" s="1"/>
  <c r="K33" i="6"/>
  <c r="I35" i="6" l="1"/>
  <c r="J34" i="6" s="1"/>
  <c r="K34" i="6"/>
  <c r="I36" i="6" l="1"/>
  <c r="J35" i="6" s="1"/>
  <c r="K35" i="6"/>
  <c r="I37" i="6" l="1"/>
  <c r="J36" i="6" s="1"/>
  <c r="K36" i="6"/>
  <c r="I38" i="6" l="1"/>
  <c r="J37" i="6" s="1"/>
  <c r="K37" i="6"/>
  <c r="I39" i="6" l="1"/>
  <c r="J38" i="6" s="1"/>
  <c r="K38" i="6"/>
  <c r="I40" i="6" l="1"/>
  <c r="K39" i="6"/>
  <c r="N20" i="6" s="1"/>
  <c r="O20" i="6" s="1"/>
  <c r="C64" i="6" s="1"/>
  <c r="J39" i="6"/>
  <c r="N19" i="6" s="1"/>
  <c r="O19" i="6" s="1"/>
  <c r="B64" i="6" s="1"/>
  <c r="I41" i="6" l="1"/>
  <c r="K40" i="6"/>
  <c r="J40" i="6"/>
  <c r="I42" i="6" l="1"/>
  <c r="K41" i="6"/>
  <c r="J41" i="6"/>
  <c r="I43" i="6" l="1"/>
  <c r="K42" i="6"/>
  <c r="J42" i="6"/>
  <c r="I44" i="6" l="1"/>
  <c r="K43" i="6"/>
  <c r="J43" i="6"/>
  <c r="I45" i="6" l="1"/>
  <c r="K44" i="6"/>
  <c r="J44" i="6"/>
  <c r="I46" i="6" l="1"/>
  <c r="K45" i="6"/>
  <c r="J45" i="6"/>
  <c r="I47" i="6" l="1"/>
  <c r="K46" i="6"/>
  <c r="J46" i="6"/>
  <c r="I48" i="6" l="1"/>
  <c r="K47" i="6"/>
  <c r="J47" i="6"/>
  <c r="I49" i="6" l="1"/>
  <c r="K48" i="6"/>
  <c r="J48" i="6"/>
  <c r="I50" i="6" l="1"/>
  <c r="K49" i="6"/>
  <c r="J49" i="6"/>
  <c r="I51" i="6" l="1"/>
  <c r="K50" i="6"/>
  <c r="J50" i="6"/>
  <c r="I52" i="6" l="1"/>
  <c r="K51" i="6"/>
  <c r="J51" i="6"/>
  <c r="I53" i="6" l="1"/>
  <c r="K52" i="6"/>
  <c r="J52" i="6"/>
  <c r="I54" i="6" l="1"/>
  <c r="K53" i="6"/>
  <c r="J53" i="6"/>
  <c r="I55" i="6" l="1"/>
  <c r="K54" i="6"/>
  <c r="J54" i="6"/>
  <c r="I56" i="6" l="1"/>
  <c r="J55" i="6"/>
  <c r="K55" i="6"/>
  <c r="I57" i="6" l="1"/>
  <c r="J56" i="6"/>
  <c r="K56" i="6"/>
  <c r="I58" i="6" l="1"/>
  <c r="J57" i="6"/>
  <c r="K57" i="6"/>
  <c r="I59" i="6" l="1"/>
  <c r="J58" i="6"/>
  <c r="K58" i="6"/>
  <c r="J59" i="6" l="1"/>
  <c r="K59"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StephenJ</author>
    <author>TempUser</author>
  </authors>
  <commentList>
    <comment ref="B17" authorId="0" shapeId="0" xr:uid="{00000000-0006-0000-0000-000001000000}">
      <text>
        <r>
          <rPr>
            <sz val="10"/>
            <color indexed="81"/>
            <rFont val="Tahoma"/>
            <family val="2"/>
          </rPr>
          <t>Alternatively, you can set this to a value and not let it be estimated by solver.</t>
        </r>
      </text>
    </comment>
    <comment ref="E20" authorId="1" shapeId="0" xr:uid="{00000000-0006-0000-0000-000002000000}">
      <text>
        <r>
          <rPr>
            <sz val="8"/>
            <color indexed="81"/>
            <rFont val="Tahoma"/>
            <family val="2"/>
          </rPr>
          <t>Residuals Squared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StephenJ</author>
    <author>TempUser</author>
  </authors>
  <commentList>
    <comment ref="B17" authorId="0" shapeId="0" xr:uid="{00000000-0006-0000-0100-000001000000}">
      <text>
        <r>
          <rPr>
            <sz val="10"/>
            <color indexed="81"/>
            <rFont val="Tahoma"/>
            <family val="2"/>
          </rPr>
          <t>Alternatively, you can set this to a value and not let it be estimated by solver.</t>
        </r>
      </text>
    </comment>
    <comment ref="E20" authorId="1" shapeId="0" xr:uid="{00000000-0006-0000-0100-000002000000}">
      <text>
        <r>
          <rPr>
            <sz val="8"/>
            <color indexed="81"/>
            <rFont val="Tahoma"/>
            <family val="2"/>
          </rPr>
          <t>Residuals Squared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StephenJ</author>
  </authors>
  <commentList>
    <comment ref="E20" authorId="0" shapeId="0" xr:uid="{00000000-0006-0000-0200-000001000000}">
      <text>
        <r>
          <rPr>
            <sz val="10"/>
            <color indexed="81"/>
            <rFont val="Tahoma"/>
            <family val="2"/>
          </rPr>
          <t>Residuals = (obs-pred)^2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StephenJ</author>
  </authors>
  <commentList>
    <comment ref="E21" authorId="0" shapeId="0" xr:uid="{00000000-0006-0000-0300-000001000000}">
      <text>
        <r>
          <rPr>
            <sz val="10"/>
            <color indexed="81"/>
            <rFont val="Tahoma"/>
            <family val="2"/>
          </rPr>
          <t>Residuals = (obs-pred)^2</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StephenJ</author>
  </authors>
  <commentList>
    <comment ref="E20" authorId="0" shapeId="0" xr:uid="{00000000-0006-0000-0400-000001000000}">
      <text>
        <r>
          <rPr>
            <sz val="10"/>
            <color indexed="81"/>
            <rFont val="Tahoma"/>
            <family val="2"/>
          </rPr>
          <t>Residuals = (obs-pred)^2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StephenJ</author>
  </authors>
  <commentList>
    <comment ref="B17" authorId="0" shapeId="0" xr:uid="{00000000-0006-0000-0500-000001000000}">
      <text>
        <r>
          <rPr>
            <sz val="10"/>
            <color indexed="81"/>
            <rFont val="Tahoma"/>
            <family val="2"/>
          </rPr>
          <t>This is the data for one cohort followed through time.  You can analyze a different tim period by using the columns to the right.</t>
        </r>
      </text>
    </comment>
    <comment ref="G17" authorId="0" shapeId="0" xr:uid="{00000000-0006-0000-0500-000002000000}">
      <text>
        <r>
          <rPr>
            <sz val="10"/>
            <color indexed="81"/>
            <rFont val="Tahoma"/>
            <family val="2"/>
          </rPr>
          <t>This is for a secondary analysis, e.g. of a different time period that you want to compare.</t>
        </r>
      </text>
    </comment>
    <comment ref="J19" authorId="0" shapeId="0" xr:uid="{00000000-0006-0000-0500-000003000000}">
      <text>
        <r>
          <rPr>
            <b/>
            <sz val="8"/>
            <color indexed="81"/>
            <rFont val="Tahoma"/>
            <family val="2"/>
          </rPr>
          <t xml:space="preserve">Need to exclude these because they don't fit into the straight line model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StephenJ</author>
  </authors>
  <commentList>
    <comment ref="G12" authorId="0" shapeId="0" xr:uid="{00000000-0006-0000-0800-000001000000}">
      <text>
        <r>
          <rPr>
            <b/>
            <sz val="8"/>
            <color indexed="81"/>
            <rFont val="Tahoma"/>
            <family val="2"/>
          </rPr>
          <t>This cell references the first F in the table at the bottom.  Do not overwrite this value just use the first F value in the F table.  This is needed for the table function set-up.</t>
        </r>
      </text>
    </comment>
    <comment ref="B13" authorId="0" shapeId="0" xr:uid="{00000000-0006-0000-0800-000002000000}">
      <text>
        <r>
          <rPr>
            <sz val="10"/>
            <color indexed="81"/>
            <rFont val="Tahoma"/>
            <family val="2"/>
          </rPr>
          <t>This can equal the t0 value from either the raw or mean VB data.</t>
        </r>
      </text>
    </comment>
    <comment ref="D15" authorId="0" shapeId="0" xr:uid="{00000000-0006-0000-0800-000003000000}">
      <text>
        <r>
          <rPr>
            <b/>
            <sz val="8"/>
            <color indexed="81"/>
            <rFont val="Tahoma"/>
            <family val="2"/>
          </rPr>
          <t>If you do not have age to maturity data (only length to maturity) just guesstimate and do not use any converted values.</t>
        </r>
      </text>
    </comment>
    <comment ref="D18" authorId="0" shapeId="0" xr:uid="{00000000-0006-0000-0800-000004000000}">
      <text>
        <r>
          <rPr>
            <b/>
            <sz val="8"/>
            <color indexed="81"/>
            <rFont val="Tahoma"/>
            <family val="2"/>
          </rPr>
          <t>If you only have maturity at length, you can change this from a formula to a best guesstimate from the length to age and maturity graphs.  Do not convert lengths to ages, as this adds more error.</t>
        </r>
      </text>
    </comment>
    <comment ref="H18" authorId="0" shapeId="0" xr:uid="{00000000-0006-0000-0800-000005000000}">
      <text>
        <r>
          <rPr>
            <b/>
            <sz val="8"/>
            <color indexed="81"/>
            <rFont val="Tahoma"/>
            <family val="2"/>
          </rPr>
          <t>If knife-edge, use zeros and ones.  Zeros no recruit to fishery, ones recruit 100%.  Alternatively use actual values, with logistic regression equation.</t>
        </r>
      </text>
    </comment>
    <comment ref="E19" authorId="0" shapeId="0" xr:uid="{00000000-0006-0000-0800-000006000000}">
      <text>
        <r>
          <rPr>
            <b/>
            <sz val="8"/>
            <color indexed="81"/>
            <rFont val="Tahoma"/>
            <family val="2"/>
          </rPr>
          <t>This needs to be a starting value for the cohort; any number will do.</t>
        </r>
      </text>
    </comment>
    <comment ref="E20" authorId="0" shapeId="0" xr:uid="{00000000-0006-0000-0800-000007000000}">
      <text>
        <r>
          <rPr>
            <b/>
            <sz val="8"/>
            <color indexed="81"/>
            <rFont val="Tahoma"/>
            <family val="2"/>
          </rPr>
          <t>This equation is an unfished model equation.</t>
        </r>
        <r>
          <rPr>
            <sz val="8"/>
            <color indexed="81"/>
            <rFont val="Tahoma"/>
            <family val="2"/>
          </rPr>
          <t xml:space="preserve">
</t>
        </r>
      </text>
    </comment>
    <comment ref="D63" authorId="0" shapeId="0" xr:uid="{00000000-0006-0000-0800-000008000000}">
      <text>
        <r>
          <rPr>
            <sz val="10"/>
            <color indexed="81"/>
            <rFont val="Tahoma"/>
            <family val="2"/>
          </rPr>
          <t>This is the slope of YPR (rise over run), but in integer values so that you can use a lookup function to find the F</t>
        </r>
        <r>
          <rPr>
            <vertAlign val="subscript"/>
            <sz val="10"/>
            <color indexed="81"/>
            <rFont val="Tahoma"/>
            <family val="2"/>
          </rPr>
          <t>0.1</t>
        </r>
      </text>
    </comment>
    <comment ref="A64" authorId="0" shapeId="0" xr:uid="{00000000-0006-0000-0800-000009000000}">
      <text>
        <r>
          <rPr>
            <b/>
            <sz val="8"/>
            <color indexed="81"/>
            <rFont val="Tahoma"/>
            <family val="2"/>
          </rPr>
          <t>This value is what feeds the top reference value in the fishing equations.</t>
        </r>
      </text>
    </comment>
    <comment ref="B64" authorId="0" shapeId="0" xr:uid="{00000000-0006-0000-0800-00000A000000}">
      <text>
        <r>
          <rPr>
            <b/>
            <sz val="8"/>
            <color indexed="81"/>
            <rFont val="Tahoma"/>
            <family val="2"/>
          </rPr>
          <t>This value needs to reference the YPR value from the above tables.</t>
        </r>
      </text>
    </comment>
    <comment ref="C64" authorId="0" shapeId="0" xr:uid="{00000000-0006-0000-0800-00000B000000}">
      <text>
        <r>
          <rPr>
            <b/>
            <sz val="8"/>
            <color indexed="81"/>
            <rFont val="Tahoma"/>
            <family val="2"/>
          </rPr>
          <t>This value needs to reference the SSBPR value from the above tables.</t>
        </r>
      </text>
    </comment>
    <comment ref="G81" authorId="0" shapeId="0" xr:uid="{00000000-0006-0000-0800-00000C000000}">
      <text>
        <r>
          <rPr>
            <b/>
            <sz val="10"/>
            <color indexed="81"/>
            <rFont val="Tahoma"/>
            <family val="2"/>
          </rPr>
          <t>This is the Y</t>
        </r>
        <r>
          <rPr>
            <b/>
            <vertAlign val="subscript"/>
            <sz val="10"/>
            <color indexed="81"/>
            <rFont val="Tahoma"/>
            <family val="2"/>
          </rPr>
          <t>max</t>
        </r>
        <r>
          <rPr>
            <b/>
            <sz val="10"/>
            <color indexed="81"/>
            <rFont val="Tahoma"/>
            <family val="2"/>
          </rPr>
          <t xml:space="preserve"> value used in the formula to calculate F</t>
        </r>
        <r>
          <rPr>
            <b/>
            <vertAlign val="subscript"/>
            <sz val="10"/>
            <color indexed="81"/>
            <rFont val="Tahoma"/>
            <family val="2"/>
          </rPr>
          <t>max</t>
        </r>
        <r>
          <rPr>
            <b/>
            <sz val="10"/>
            <color indexed="81"/>
            <rFont val="Tahoma"/>
            <family val="2"/>
          </rPr>
          <t>.</t>
        </r>
      </text>
    </comment>
    <comment ref="G82" authorId="0" shapeId="0" xr:uid="{00000000-0006-0000-0800-00000D000000}">
      <text>
        <r>
          <rPr>
            <b/>
            <sz val="8"/>
            <color indexed="81"/>
            <rFont val="Tahoma"/>
            <family val="2"/>
          </rPr>
          <t>F associated with Y</t>
        </r>
        <r>
          <rPr>
            <b/>
            <vertAlign val="subscript"/>
            <sz val="8"/>
            <color indexed="81"/>
            <rFont val="Tahoma"/>
            <family val="2"/>
          </rPr>
          <t>max.</t>
        </r>
        <r>
          <rPr>
            <b/>
            <sz val="8"/>
            <color indexed="81"/>
            <rFont val="Tahoma"/>
            <family val="2"/>
          </rPr>
          <t xml:space="preserve">  Formula calculates this value.</t>
        </r>
      </text>
    </comment>
    <comment ref="G83" authorId="0" shapeId="0" xr:uid="{00000000-0006-0000-0800-00000E000000}">
      <text>
        <r>
          <rPr>
            <b/>
            <sz val="8"/>
            <color indexed="81"/>
            <rFont val="Tahoma"/>
            <family val="2"/>
          </rPr>
          <t>10% of the intial slope (this is the first slope value - rise over run).</t>
        </r>
      </text>
    </comment>
    <comment ref="G84" authorId="0" shapeId="0" xr:uid="{00000000-0006-0000-0800-00000F000000}">
      <text>
        <r>
          <rPr>
            <b/>
            <sz val="8"/>
            <color indexed="81"/>
            <rFont val="Tahoma"/>
            <family val="2"/>
          </rPr>
          <t>F associated with 10% of slope</t>
        </r>
      </text>
    </comment>
    <comment ref="I84" authorId="0" shapeId="0" xr:uid="{00000000-0006-0000-0800-000010000000}">
      <text>
        <r>
          <rPr>
            <b/>
            <sz val="10"/>
            <color indexed="81"/>
            <rFont val="Tahoma"/>
            <family val="2"/>
          </rPr>
          <t>When the formula doesn't work you can eyeball the values.</t>
        </r>
      </text>
    </comment>
    <comment ref="G85" authorId="0" shapeId="0" xr:uid="{00000000-0006-0000-0800-000011000000}">
      <text>
        <r>
          <rPr>
            <b/>
            <sz val="8"/>
            <color indexed="81"/>
            <rFont val="Tahoma"/>
            <family val="2"/>
          </rPr>
          <t>Yield for F</t>
        </r>
        <r>
          <rPr>
            <b/>
            <vertAlign val="subscript"/>
            <sz val="8"/>
            <color indexed="81"/>
            <rFont val="Tahoma"/>
            <family val="2"/>
          </rPr>
          <t>0.1</t>
        </r>
      </text>
    </comment>
    <comment ref="G87" authorId="0" shapeId="0" xr:uid="{00000000-0006-0000-0800-000012000000}">
      <text>
        <r>
          <rPr>
            <b/>
            <sz val="8"/>
            <color indexed="81"/>
            <rFont val="Tahoma"/>
            <family val="2"/>
          </rPr>
          <t>F value where the %SSB is 30%</t>
        </r>
      </text>
    </comment>
    <comment ref="G89" authorId="0" shapeId="0" xr:uid="{00000000-0006-0000-0800-000013000000}">
      <text>
        <r>
          <rPr>
            <b/>
            <sz val="8"/>
            <color indexed="81"/>
            <rFont val="Tahoma"/>
            <family val="2"/>
          </rPr>
          <t>F value where the %SSB is 20%</t>
        </r>
      </text>
    </comment>
    <comment ref="G91" authorId="0" shapeId="0" xr:uid="{00000000-0006-0000-0800-000014000000}">
      <text>
        <r>
          <rPr>
            <b/>
            <sz val="8"/>
            <color indexed="81"/>
            <rFont val="Tahoma"/>
            <family val="2"/>
          </rPr>
          <t>F value where the %SSB is 10%</t>
        </r>
      </text>
    </comment>
  </commentList>
</comments>
</file>

<file path=xl/sharedStrings.xml><?xml version="1.0" encoding="utf-8"?>
<sst xmlns="http://schemas.openxmlformats.org/spreadsheetml/2006/main" count="297" uniqueCount="153">
  <si>
    <t>Age</t>
  </si>
  <si>
    <t>Mean L</t>
  </si>
  <si>
    <t>Parameters</t>
  </si>
  <si>
    <t>Start</t>
  </si>
  <si>
    <t>End</t>
  </si>
  <si>
    <t>K</t>
  </si>
  <si>
    <r>
      <t>L</t>
    </r>
    <r>
      <rPr>
        <vertAlign val="subscript"/>
        <sz val="10"/>
        <rFont val="Symbol"/>
        <family val="1"/>
        <charset val="2"/>
      </rPr>
      <t>¥</t>
    </r>
  </si>
  <si>
    <r>
      <t>t</t>
    </r>
    <r>
      <rPr>
        <vertAlign val="subscript"/>
        <sz val="10"/>
        <rFont val="Arial"/>
        <family val="2"/>
      </rPr>
      <t>0</t>
    </r>
  </si>
  <si>
    <r>
      <t>L</t>
    </r>
    <r>
      <rPr>
        <i/>
        <vertAlign val="subscript"/>
        <sz val="10"/>
        <rFont val="Arial"/>
        <family val="2"/>
      </rPr>
      <t>pred</t>
    </r>
  </si>
  <si>
    <t>(Obs-Pred)^2</t>
  </si>
  <si>
    <t>Residuals</t>
  </si>
  <si>
    <t>a</t>
  </si>
  <si>
    <t>b</t>
  </si>
  <si>
    <t>F</t>
  </si>
  <si>
    <t>α2</t>
  </si>
  <si>
    <t>Year</t>
  </si>
  <si>
    <t>CPUE</t>
  </si>
  <si>
    <t>LN(CPUE)</t>
  </si>
  <si>
    <t>Z</t>
  </si>
  <si>
    <t>Length</t>
  </si>
  <si>
    <t xml:space="preserve">YPR AND SSBPR MODEL BASED ON LOGISTIC SELECTION OR RECRUITMENT  </t>
  </si>
  <si>
    <t>Unfished Model Equations</t>
  </si>
  <si>
    <t>FISHING</t>
  </si>
  <si>
    <t>YPR AND SSBPR</t>
  </si>
  <si>
    <t>Length:</t>
  </si>
  <si>
    <r>
      <t>Lt = Linf*(1-exp(-K*(t-t</t>
    </r>
    <r>
      <rPr>
        <b/>
        <i/>
        <vertAlign val="subscript"/>
        <sz val="10"/>
        <rFont val="Arial"/>
        <family val="2"/>
      </rPr>
      <t>0</t>
    </r>
    <r>
      <rPr>
        <b/>
        <i/>
        <sz val="10"/>
        <rFont val="Arial"/>
        <family val="2"/>
      </rPr>
      <t>))</t>
    </r>
  </si>
  <si>
    <t>Pselect=(1 + exp(-α2(Lt-L50)))^-1</t>
  </si>
  <si>
    <t>Yinit = ((Psel*F)/(Psel*F + M))*Ntinit*(1-exp(-(Psel*F + M))) * Wt</t>
  </si>
  <si>
    <t>Weight:</t>
  </si>
  <si>
    <t>Wt = a*Lt^b</t>
  </si>
  <si>
    <r>
      <t>Nt (fish) = Nt-1</t>
    </r>
    <r>
      <rPr>
        <b/>
        <i/>
        <vertAlign val="subscript"/>
        <sz val="10"/>
        <rFont val="Arial"/>
        <family val="2"/>
      </rPr>
      <t>fish</t>
    </r>
    <r>
      <rPr>
        <b/>
        <i/>
        <sz val="10"/>
        <rFont val="Arial"/>
        <family val="2"/>
      </rPr>
      <t>*exp(-((Psel</t>
    </r>
    <r>
      <rPr>
        <b/>
        <i/>
        <vertAlign val="subscript"/>
        <sz val="10"/>
        <rFont val="Arial"/>
        <family val="2"/>
      </rPr>
      <t>(t-1)</t>
    </r>
    <r>
      <rPr>
        <b/>
        <i/>
        <sz val="10"/>
        <rFont val="Arial"/>
        <family val="2"/>
      </rPr>
      <t>*F)+M)))</t>
    </r>
  </si>
  <si>
    <t>Y = ((Psel*F)/(Psel*F + M))*(Nt - Nt+1) * Wt</t>
  </si>
  <si>
    <t>Maturity:</t>
  </si>
  <si>
    <t>Pmat = (1 + exp(-α1*(t-β1)))^-1</t>
  </si>
  <si>
    <t>SSB(fish) = Pmat*Nt(fish)* Wt</t>
  </si>
  <si>
    <t xml:space="preserve">Number: </t>
  </si>
  <si>
    <t>Nt = Nt-1*exp(-M)</t>
  </si>
  <si>
    <t xml:space="preserve">Biomass:      </t>
  </si>
  <si>
    <t>Bt = Nt*Wt</t>
  </si>
  <si>
    <t>Yint for short lived animal</t>
  </si>
  <si>
    <t>SSB:</t>
  </si>
  <si>
    <t>UFSSBt = Pmat * Bt</t>
  </si>
  <si>
    <t>Recruits</t>
  </si>
  <si>
    <r>
      <t>t</t>
    </r>
    <r>
      <rPr>
        <b/>
        <i/>
        <vertAlign val="subscript"/>
        <sz val="10"/>
        <rFont val="Arial"/>
        <family val="2"/>
      </rPr>
      <t>0</t>
    </r>
  </si>
  <si>
    <r>
      <t>L</t>
    </r>
    <r>
      <rPr>
        <b/>
        <vertAlign val="subscript"/>
        <sz val="10"/>
        <rFont val="Arial"/>
        <family val="2"/>
      </rPr>
      <t>50</t>
    </r>
    <r>
      <rPr>
        <b/>
        <sz val="10"/>
        <rFont val="Arial"/>
        <family val="2"/>
      </rPr>
      <t xml:space="preserve"> </t>
    </r>
  </si>
  <si>
    <r>
      <t>L</t>
    </r>
    <r>
      <rPr>
        <b/>
        <vertAlign val="subscript"/>
        <sz val="10"/>
        <rFont val="Symbol"/>
        <family val="1"/>
        <charset val="2"/>
      </rPr>
      <t>¥</t>
    </r>
  </si>
  <si>
    <r>
      <t>a</t>
    </r>
    <r>
      <rPr>
        <b/>
        <sz val="10"/>
        <rFont val="Arial"/>
        <family val="2"/>
      </rPr>
      <t>1</t>
    </r>
  </si>
  <si>
    <t>M</t>
  </si>
  <si>
    <r>
      <t>b</t>
    </r>
    <r>
      <rPr>
        <b/>
        <sz val="10"/>
        <rFont val="Arial"/>
        <family val="2"/>
      </rPr>
      <t>1 (L</t>
    </r>
    <r>
      <rPr>
        <b/>
        <vertAlign val="subscript"/>
        <sz val="10"/>
        <rFont val="Arial"/>
        <family val="2"/>
      </rPr>
      <t>50mat</t>
    </r>
    <r>
      <rPr>
        <b/>
        <sz val="10"/>
        <rFont val="Arial"/>
        <family val="2"/>
      </rPr>
      <t>)</t>
    </r>
  </si>
  <si>
    <r>
      <t>L</t>
    </r>
    <r>
      <rPr>
        <b/>
        <sz val="10"/>
        <rFont val="Arial"/>
        <family val="2"/>
      </rPr>
      <t>(cm)</t>
    </r>
  </si>
  <si>
    <r>
      <t>W</t>
    </r>
    <r>
      <rPr>
        <b/>
        <sz val="10"/>
        <rFont val="Arial"/>
        <family val="2"/>
      </rPr>
      <t>(kg)</t>
    </r>
  </si>
  <si>
    <t>Pmat</t>
  </si>
  <si>
    <r>
      <t>N</t>
    </r>
    <r>
      <rPr>
        <b/>
        <i/>
        <vertAlign val="subscript"/>
        <sz val="10"/>
        <rFont val="Arial"/>
        <family val="2"/>
      </rPr>
      <t>t</t>
    </r>
  </si>
  <si>
    <t>Biomass</t>
  </si>
  <si>
    <t>SSB</t>
  </si>
  <si>
    <t>Selection</t>
  </si>
  <si>
    <r>
      <t>N</t>
    </r>
    <r>
      <rPr>
        <b/>
        <vertAlign val="subscript"/>
        <sz val="10"/>
        <rFont val="Arial"/>
        <family val="2"/>
      </rPr>
      <t>t</t>
    </r>
    <r>
      <rPr>
        <b/>
        <sz val="10"/>
        <rFont val="Arial"/>
        <family val="2"/>
      </rPr>
      <t xml:space="preserve"> Fished</t>
    </r>
  </si>
  <si>
    <t>Y</t>
  </si>
  <si>
    <t>Sums</t>
  </si>
  <si>
    <t>Sums/Recruit</t>
  </si>
  <si>
    <t>Yield</t>
  </si>
  <si>
    <t>YPR</t>
  </si>
  <si>
    <t>SSBPR</t>
  </si>
  <si>
    <t>Slope YPR</t>
  </si>
  <si>
    <t>%SSB</t>
  </si>
  <si>
    <r>
      <t>Y</t>
    </r>
    <r>
      <rPr>
        <vertAlign val="subscript"/>
        <sz val="11"/>
        <color theme="1"/>
        <rFont val="Calibri"/>
        <family val="2"/>
        <scheme val="minor"/>
      </rPr>
      <t>max</t>
    </r>
  </si>
  <si>
    <r>
      <t>F</t>
    </r>
    <r>
      <rPr>
        <vertAlign val="subscript"/>
        <sz val="11"/>
        <color theme="1"/>
        <rFont val="Calibri"/>
        <family val="2"/>
        <scheme val="minor"/>
      </rPr>
      <t>max</t>
    </r>
  </si>
  <si>
    <t>10% slope</t>
  </si>
  <si>
    <r>
      <t>F</t>
    </r>
    <r>
      <rPr>
        <vertAlign val="subscript"/>
        <sz val="11"/>
        <color theme="1"/>
        <rFont val="Calibri"/>
        <family val="2"/>
        <scheme val="minor"/>
      </rPr>
      <t>0.1</t>
    </r>
  </si>
  <si>
    <r>
      <t>Y F</t>
    </r>
    <r>
      <rPr>
        <vertAlign val="subscript"/>
        <sz val="11"/>
        <color theme="1"/>
        <rFont val="Calibri"/>
        <family val="2"/>
        <scheme val="minor"/>
      </rPr>
      <t xml:space="preserve"> 0.1</t>
    </r>
  </si>
  <si>
    <t>F 10%</t>
  </si>
  <si>
    <t>F 20%</t>
  </si>
  <si>
    <t>F 30%</t>
  </si>
  <si>
    <t>Mesh</t>
  </si>
  <si>
    <t>Estimating Parameters</t>
  </si>
  <si>
    <t>Predicted Curve</t>
  </si>
  <si>
    <t>Actual Data</t>
  </si>
  <si>
    <t>Predicted equations</t>
  </si>
  <si>
    <t>Sums residuals</t>
  </si>
  <si>
    <r>
      <t>L</t>
    </r>
    <r>
      <rPr>
        <i/>
        <vertAlign val="subscript"/>
        <sz val="10"/>
        <rFont val="Arial"/>
        <family val="2"/>
      </rPr>
      <t>obs</t>
    </r>
  </si>
  <si>
    <r>
      <rPr>
        <b/>
        <sz val="14"/>
        <color theme="1"/>
        <rFont val="Calibri"/>
        <family val="2"/>
        <scheme val="minor"/>
      </rPr>
      <t>Length-Weight Relationships</t>
    </r>
    <r>
      <rPr>
        <sz val="11"/>
        <color theme="1"/>
        <rFont val="Calibri"/>
        <family val="2"/>
        <scheme val="minor"/>
      </rPr>
      <t xml:space="preserve">
This page estimates the length-weight power function based on a a non-linear solver solution.  This non-linear solution is based on the least square residuals.   In the length-weight equation: parameter a is a unit converstion coefficient, while the b parameter is a volume expansion coefficient.  The weight-length relationship is defined as:
</t>
    </r>
  </si>
  <si>
    <t>Weight</t>
  </si>
  <si>
    <r>
      <t>W</t>
    </r>
    <r>
      <rPr>
        <vertAlign val="subscript"/>
        <sz val="11"/>
        <color theme="1"/>
        <rFont val="Calibri"/>
        <family val="2"/>
        <scheme val="minor"/>
      </rPr>
      <t>pred</t>
    </r>
  </si>
  <si>
    <r>
      <t>L</t>
    </r>
    <r>
      <rPr>
        <vertAlign val="subscript"/>
        <sz val="11"/>
        <color theme="1"/>
        <rFont val="Calibri"/>
        <family val="2"/>
        <scheme val="minor"/>
      </rPr>
      <t>pred</t>
    </r>
  </si>
  <si>
    <t>SSR</t>
  </si>
  <si>
    <r>
      <rPr>
        <b/>
        <sz val="11"/>
        <color theme="1"/>
        <rFont val="Calibri"/>
        <family val="2"/>
        <scheme val="minor"/>
      </rPr>
      <t>How to use this spreadsheet:</t>
    </r>
    <r>
      <rPr>
        <sz val="11"/>
        <color theme="1"/>
        <rFont val="Calibri"/>
        <family val="2"/>
        <scheme val="minor"/>
      </rPr>
      <t xml:space="preserve">
  1.  Enter your ages and length data in columns B and C.
  2.  Under the Parameters enter the same start and end values.  These are reasonable estimates for the
        species.  Reasonable estimates can be approximate by graphing the data and looking for an Lmax.
  3.  Make sure that the Lpred equation uses the end values.
  4.  Once you have the calculated the residuals and their sum, run Solver.  Make sure the equations are
        applied for all data and that that the SSR cell equation includes all data points.
  5.  SOLVER
        5a.  Solver is found under Data Ribbon. 
        5b.  Set the "Target cell" for the sum of the squared residuals, "Equal to" will be minimum and 
                "By Changing Cells" to the end parameter estimates.
        5c.  Run solver until you get the following statement:  "Solver found a solution.  All constraints and 
                optimality conditions are satisfied."  This may take a few runs to achieve, depending on your
                starting values.</t>
    </r>
  </si>
  <si>
    <r>
      <rPr>
        <b/>
        <sz val="11"/>
        <color theme="1"/>
        <rFont val="Calibri"/>
        <family val="2"/>
        <scheme val="minor"/>
      </rPr>
      <t>How to use this spreadsheet:</t>
    </r>
    <r>
      <rPr>
        <sz val="11"/>
        <color theme="1"/>
        <rFont val="Calibri"/>
        <family val="2"/>
        <scheme val="minor"/>
      </rPr>
      <t xml:space="preserve">
  1.  Enter your ages and mean lengths in columns B and C.
  2.  Under the Parameters enter the same start and end values.  These are reasonable estimates for the
        species.  Reasonable estimates can be approximate by graphing the data and looking for an Lmax, 
        and setting K and t</t>
    </r>
    <r>
      <rPr>
        <vertAlign val="subscript"/>
        <sz val="11"/>
        <color theme="1"/>
        <rFont val="Calibri"/>
        <family val="2"/>
        <scheme val="minor"/>
      </rPr>
      <t>0</t>
    </r>
    <r>
      <rPr>
        <sz val="11"/>
        <color theme="1"/>
        <rFont val="Calibri"/>
        <family val="2"/>
        <scheme val="minor"/>
      </rPr>
      <t xml:space="preserve"> to 0.5 and -0.5, respectively.
  3.  Make sure that the Lpred equation uses the end values.
  4.  Once you have the calculated the residuals and their sum, run Solver.  Make sure the equations are
        applied for all data and that that the SSR cell equation includes all data points.
  5.  SOLVER
        5a.  Solver is found under Data Ribbon. 
        5b.  Set the "Target cell" for the sum of the squared residuals, "Equal to" will be minimum and 
                "By Changing Cells" to the end parameter estimates.
        5c.  Run solver until you get the following statement:  "Solver found a solution.  All constraints and 
                optimality conditions are satisfied."  This may take a few runs to achieve, depending on your
                starting values.</t>
    </r>
  </si>
  <si>
    <r>
      <rPr>
        <b/>
        <sz val="11"/>
        <color theme="1"/>
        <rFont val="Calibri"/>
        <family val="2"/>
        <scheme val="minor"/>
      </rPr>
      <t>How to use this spreadsheet:</t>
    </r>
    <r>
      <rPr>
        <sz val="11"/>
        <color theme="1"/>
        <rFont val="Calibri"/>
        <family val="2"/>
        <scheme val="minor"/>
      </rPr>
      <t xml:space="preserve">
  1.  Enter your length and weight data (mean or raw) in columns B and C.
  2.  Under the Parameters enter the same start and end values.  These are reasonable
        estimates for the species.  A good starting b value is 3.
  3.  Make sure that the W</t>
    </r>
    <r>
      <rPr>
        <vertAlign val="subscript"/>
        <sz val="11"/>
        <color theme="1"/>
        <rFont val="Calibri"/>
        <family val="2"/>
        <scheme val="minor"/>
      </rPr>
      <t>pred</t>
    </r>
    <r>
      <rPr>
        <sz val="11"/>
        <color theme="1"/>
        <rFont val="Calibri"/>
        <family val="2"/>
        <scheme val="minor"/>
      </rPr>
      <t xml:space="preserve">  equations use the end values. 
  4.  Once you have the calculated the residuals and their sum, run Solver.  Make sure the 
        equations are applied to all data and that that the SSR cell equation includes all data points.
  5.  SOLVER
        5a.  Solver is found under Data Ribbon. 
        5b.  Set the "Target cell" for the sum of the squared residuals, "Equal to" will be
                minimum and "By Changing Cells" to the end parameter estimates.
        5c.  Run solver until you get the following statement:  "Solver found a solution.  All 
                constraints and optimality conditions are satisfied."  This may take a few runs to 
                achieve, depending on your starting values.</t>
    </r>
  </si>
  <si>
    <t>% Mature</t>
  </si>
  <si>
    <r>
      <t>Mat</t>
    </r>
    <r>
      <rPr>
        <vertAlign val="subscript"/>
        <sz val="11"/>
        <color theme="1"/>
        <rFont val="Calibri"/>
        <family val="2"/>
        <scheme val="minor"/>
      </rPr>
      <t>pred</t>
    </r>
  </si>
  <si>
    <t>Matpred</t>
  </si>
  <si>
    <r>
      <t>L</t>
    </r>
    <r>
      <rPr>
        <i/>
        <vertAlign val="subscript"/>
        <sz val="10"/>
        <rFont val="Arial"/>
        <family val="2"/>
      </rPr>
      <t>50</t>
    </r>
    <r>
      <rPr>
        <i/>
        <sz val="10"/>
        <rFont val="Arial"/>
        <family val="2"/>
      </rPr>
      <t xml:space="preserve"> (β1)</t>
    </r>
  </si>
  <si>
    <r>
      <rPr>
        <b/>
        <sz val="11"/>
        <color theme="1"/>
        <rFont val="Calibri"/>
        <family val="2"/>
        <scheme val="minor"/>
      </rPr>
      <t>Additional Notes:</t>
    </r>
    <r>
      <rPr>
        <sz val="11"/>
        <color theme="1"/>
        <rFont val="Calibri"/>
        <family val="2"/>
        <scheme val="minor"/>
      </rPr>
      <t xml:space="preserve">
This equation can also be used to look at gear selection.  The probabiliyt equation is the same for gears that have sigmoidal selection curves.  Gears that have a dome-shaped selection curve use a normal probability distribution function.</t>
    </r>
  </si>
  <si>
    <r>
      <rPr>
        <b/>
        <sz val="14"/>
        <color theme="1"/>
        <rFont val="Calibri"/>
        <family val="2"/>
        <scheme val="minor"/>
      </rPr>
      <t>Maturity Probability</t>
    </r>
    <r>
      <rPr>
        <sz val="11"/>
        <color theme="1"/>
        <rFont val="Calibri"/>
        <family val="2"/>
        <scheme val="minor"/>
      </rPr>
      <t xml:space="preserve">
This page estimates the probablity of maturation based on length.  This uses the specialized form of the logisitc cumulative distribution function and solver to estimate the parameters for the model. PM</t>
    </r>
    <r>
      <rPr>
        <vertAlign val="subscript"/>
        <sz val="11"/>
        <color theme="1"/>
        <rFont val="Calibri"/>
        <family val="2"/>
        <scheme val="minor"/>
      </rPr>
      <t>A</t>
    </r>
    <r>
      <rPr>
        <sz val="11"/>
        <color theme="1"/>
        <rFont val="Calibri"/>
        <family val="2"/>
        <scheme val="minor"/>
      </rPr>
      <t xml:space="preserve"> is the probablity of maturation at age A, α2 is the steepness of the curve, and A</t>
    </r>
    <r>
      <rPr>
        <vertAlign val="subscript"/>
        <sz val="11"/>
        <color theme="1"/>
        <rFont val="Calibri"/>
        <family val="2"/>
        <scheme val="minor"/>
      </rPr>
      <t>50</t>
    </r>
    <r>
      <rPr>
        <sz val="11"/>
        <color theme="1"/>
        <rFont val="Calibri"/>
        <family val="2"/>
        <scheme val="minor"/>
      </rPr>
      <t xml:space="preserve"> (also called β1) is the age at 50% maturation.  Note that a higher steepness results in knife-edge maturation probablity.
</t>
    </r>
  </si>
  <si>
    <r>
      <t>A</t>
    </r>
    <r>
      <rPr>
        <i/>
        <vertAlign val="subscript"/>
        <sz val="10"/>
        <rFont val="Arial"/>
        <family val="2"/>
      </rPr>
      <t>50</t>
    </r>
    <r>
      <rPr>
        <i/>
        <sz val="10"/>
        <rFont val="Arial"/>
        <family val="2"/>
      </rPr>
      <t xml:space="preserve"> (β1)</t>
    </r>
  </si>
  <si>
    <r>
      <rPr>
        <b/>
        <sz val="11"/>
        <color theme="1"/>
        <rFont val="Calibri"/>
        <family val="2"/>
        <scheme val="minor"/>
      </rPr>
      <t>How to use this spreadsheet:</t>
    </r>
    <r>
      <rPr>
        <sz val="11"/>
        <color theme="1"/>
        <rFont val="Calibri"/>
        <family val="2"/>
        <scheme val="minor"/>
      </rPr>
      <t xml:space="preserve">
  1.  Enter your length and percent mature in columns B and C.
  2.  Under the Parameters enter the same start and end values.  These are reasonable
        estimates for the species.  A good starting value for L50 is around a 50% mature length.
  3.  Make sure that the Mat</t>
    </r>
    <r>
      <rPr>
        <vertAlign val="subscript"/>
        <sz val="11"/>
        <color theme="1"/>
        <rFont val="Calibri"/>
        <family val="2"/>
        <scheme val="minor"/>
      </rPr>
      <t>pred</t>
    </r>
    <r>
      <rPr>
        <sz val="11"/>
        <color theme="1"/>
        <rFont val="Calibri"/>
        <family val="2"/>
        <scheme val="minor"/>
      </rPr>
      <t xml:space="preserve">  equations use the end values. 
  4.  Once you have the calculated the residuals and their sum, run Solver.  Make sure the 
        equations are applied to all data and that that the SSR cell equation includes all data points.
  5.  SOLVER
        5a.  Solver is found under Data Ribbon. 
        5b.  Set the "Target cell" for the sum of the squared residuals, "Equal to" will be
                minimum and "By Changing Cells" to the end parameter estimates.
        5c.  Run solver until you get the following statement:  "Solver found a solution.  All 
                constraints and optimality conditions are satisfied."  This may take a few runs to 
                achieve, depending on your starting values.</t>
    </r>
  </si>
  <si>
    <r>
      <rPr>
        <b/>
        <sz val="11"/>
        <color theme="1"/>
        <rFont val="Calibri"/>
        <family val="2"/>
        <scheme val="minor"/>
      </rPr>
      <t>How to use this spreadsheet:</t>
    </r>
    <r>
      <rPr>
        <sz val="11"/>
        <color theme="1"/>
        <rFont val="Calibri"/>
        <family val="2"/>
        <scheme val="minor"/>
      </rPr>
      <t xml:space="preserve">
  1.  Enter your age and percent mature in columns B and C.
  2.  Under the Parameters enter the same start and end values.  These are reasonable
        estimates for the species.  A good starting value for L50 is around a 50% mature age
  3.  Make sure that the Mat</t>
    </r>
    <r>
      <rPr>
        <vertAlign val="subscript"/>
        <sz val="11"/>
        <color theme="1"/>
        <rFont val="Calibri"/>
        <family val="2"/>
        <scheme val="minor"/>
      </rPr>
      <t>pred</t>
    </r>
    <r>
      <rPr>
        <sz val="11"/>
        <color theme="1"/>
        <rFont val="Calibri"/>
        <family val="2"/>
        <scheme val="minor"/>
      </rPr>
      <t xml:space="preserve">  equations use the end values. 
  4.  Once you have the calculated the residuals and their sum, run Solver.  Make sure the 
        equations are applied to all data and that that the SSR cell equation includes all data points.
  5.  SOLVER
        5a.  Solver is found under Data Ribbon. 
        5b.  Set the "Target cell" for the sum of the squared residuals, "Equal to" will be
                minimum and "By Changing Cells" to the end parameter estimates.
        5c.  Run solver until you get the following statement:  "Solver found a solution.  All 
                constraints and optimality conditions are satisfied."  This may take a few runs to 
                achieve, depending on your starting values.</t>
    </r>
  </si>
  <si>
    <r>
      <rPr>
        <b/>
        <sz val="14"/>
        <color theme="1"/>
        <rFont val="Calibri"/>
        <family val="2"/>
        <scheme val="minor"/>
      </rPr>
      <t>Maturity Probability</t>
    </r>
    <r>
      <rPr>
        <sz val="11"/>
        <color theme="1"/>
        <rFont val="Calibri"/>
        <family val="2"/>
        <scheme val="minor"/>
      </rPr>
      <t xml:space="preserve">
This page estimates the probablity of maturation based on length.  This uses the specialized form of the logisitc cumulative distribution function and solver to estimate the parameters for the model. PM</t>
    </r>
    <r>
      <rPr>
        <vertAlign val="subscript"/>
        <sz val="11"/>
        <color theme="1"/>
        <rFont val="Calibri"/>
        <family val="2"/>
        <scheme val="minor"/>
      </rPr>
      <t>L</t>
    </r>
    <r>
      <rPr>
        <sz val="11"/>
        <color theme="1"/>
        <rFont val="Calibri"/>
        <family val="2"/>
        <scheme val="minor"/>
      </rPr>
      <t xml:space="preserve"> is the probablity of maturation at length L, α2 is the steepness of the curve, and L</t>
    </r>
    <r>
      <rPr>
        <vertAlign val="subscript"/>
        <sz val="11"/>
        <color theme="1"/>
        <rFont val="Calibri"/>
        <family val="2"/>
        <scheme val="minor"/>
      </rPr>
      <t>50</t>
    </r>
    <r>
      <rPr>
        <sz val="11"/>
        <color theme="1"/>
        <rFont val="Calibri"/>
        <family val="2"/>
        <scheme val="minor"/>
      </rPr>
      <t xml:space="preserve"> (also called β1) is the length at 50% maturation.  Note that a higher steepness results in knife-edge maturation probablity. </t>
    </r>
    <r>
      <rPr>
        <i/>
        <sz val="11"/>
        <color theme="1"/>
        <rFont val="Calibri"/>
        <family val="2"/>
        <scheme val="minor"/>
      </rPr>
      <t xml:space="preserve"> ***Note if you do not have age at maturation values you can guestimate these for the YPR and SSBPR models based on length and length at age.  Do not try to calculate from an age to length conversion.***</t>
    </r>
    <r>
      <rPr>
        <sz val="11"/>
        <color theme="1"/>
        <rFont val="Calibri"/>
        <family val="2"/>
        <scheme val="minor"/>
      </rPr>
      <t xml:space="preserve">
</t>
    </r>
  </si>
  <si>
    <t>Cohort CPUE</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</si>
  <si>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</si>
  <si>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</si>
  <si>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</si>
  <si>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</si>
  <si>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</si>
  <si>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</si>
  <si>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</si>
  <si>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</si>
  <si>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</si>
  <si>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</si>
  <si>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</si>
  <si>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</si>
  <si>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</si>
  <si>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</si>
  <si>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</si>
  <si>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Significance F</t>
  </si>
  <si>
    <t>Coefficients</t>
  </si>
  <si>
    <t>t Stat</t>
  </si>
  <si>
    <t>P-value</t>
  </si>
  <si>
    <t>Lower 95%</t>
  </si>
  <si>
    <t>Upper 95%</t>
  </si>
  <si>
    <t>Lower 95.0%</t>
  </si>
  <si>
    <t>Upper 95.0%</t>
  </si>
  <si>
    <t>X Variable 1</t>
  </si>
  <si>
    <r>
      <rPr>
        <b/>
        <sz val="11"/>
        <color theme="1"/>
        <rFont val="Calibri"/>
        <family val="2"/>
        <scheme val="minor"/>
      </rPr>
      <t>How to use this spreadsheet:</t>
    </r>
    <r>
      <rPr>
        <sz val="11"/>
        <color theme="1"/>
        <rFont val="Calibri"/>
        <family val="2"/>
        <scheme val="minor"/>
      </rPr>
      <t xml:space="preserve">
  1.  Enter the year, age and CPUE in colums B-D.
  2.  Column E is the log of the CPUE: LN(CPUE).  This equation needs to be entered for each
        year in which you have data.
  3.  Plot the data Year or Age vs LN(CPUE).  Run a regression line through the points.  The 
        negative slope is the Z.  DO NOT INCLUDE THE ZERO AGE COHORT.
  3A.  Alternatively, you can run the Regression function through Data Analysis Tools add-in.
           a.  Open the Data Analysis Tools.
           b.  Select the Regression tool.
           c.   The y-inpu range is the LN(CPUE) data, and the x-input range is the Year or Age data, 
                  excluding the zero age cohort.
           d.  After running the regression, look for the x-variable coefficient.  This is your slope.</t>
    </r>
  </si>
  <si>
    <r>
      <rPr>
        <b/>
        <sz val="14"/>
        <color theme="1"/>
        <rFont val="Calibri"/>
        <family val="2"/>
        <scheme val="minor"/>
      </rPr>
      <t>Natural Mortality</t>
    </r>
    <r>
      <rPr>
        <sz val="11"/>
        <color theme="1"/>
        <rFont val="Calibri"/>
        <family val="2"/>
        <scheme val="minor"/>
      </rPr>
      <t xml:space="preserve">
Natural mortality can be assumed to be 0.2 for many 'long-lived' species (15 years or greater).  Natural mortality can also be estimaged using the rule of thumb approach or through Hoenig's modification.
</t>
    </r>
  </si>
  <si>
    <t>Rule of Thumb</t>
  </si>
  <si>
    <t>Hoenig Modified</t>
  </si>
  <si>
    <t>Max Age</t>
  </si>
  <si>
    <r>
      <rPr>
        <b/>
        <sz val="14"/>
        <color theme="1"/>
        <rFont val="Calibri"/>
        <family val="2"/>
        <scheme val="minor"/>
      </rPr>
      <t>Estimating Mortality</t>
    </r>
    <r>
      <rPr>
        <sz val="11"/>
        <color theme="1"/>
        <rFont val="Calibri"/>
        <family val="2"/>
        <scheme val="minor"/>
      </rPr>
      <t xml:space="preserve">
This page estimates the total mortality, Z, by following a year class (cohort) through time using a relative index of abundance (e.g. CPUE).   Total mortality is found using the catch curve analysis (CCA).  CCA assumes that catch is proportional to abundance, through a relative index of abundance (e.g. CPUE).   After using a log transformation on the relative index of abundance, a regression analysis can tell you the total mortality, which is the negative slope of the equation.  The regression analysis can be plotted or calculated.  Do not include the zero age cohort when regressing the data.  Natural mortality, M,  can be assumed to be 0.2 or calculated using a natural mortality method.  Fishing mortality, F, is then calculated by subtracting M from Z.
</t>
    </r>
  </si>
  <si>
    <t xml:space="preserve">Gear 1 </t>
  </si>
  <si>
    <t>Gear 2</t>
  </si>
  <si>
    <r>
      <t>Gear</t>
    </r>
    <r>
      <rPr>
        <vertAlign val="subscript"/>
        <sz val="11"/>
        <color theme="1"/>
        <rFont val="Calibri"/>
        <family val="2"/>
        <scheme val="minor"/>
      </rPr>
      <t>pred</t>
    </r>
  </si>
  <si>
    <t>SSR G1</t>
  </si>
  <si>
    <t>Selection Factor (SF)</t>
  </si>
  <si>
    <r>
      <t>L</t>
    </r>
    <r>
      <rPr>
        <vertAlign val="subscript"/>
        <sz val="11"/>
        <color theme="1"/>
        <rFont val="Calibri"/>
        <family val="2"/>
        <scheme val="minor"/>
      </rPr>
      <t>75</t>
    </r>
  </si>
  <si>
    <r>
      <t>L</t>
    </r>
    <r>
      <rPr>
        <vertAlign val="subscript"/>
        <sz val="11"/>
        <color theme="1"/>
        <rFont val="Calibri"/>
        <family val="2"/>
        <scheme val="minor"/>
      </rPr>
      <t>25</t>
    </r>
  </si>
  <si>
    <t>Selection Range (SR)</t>
  </si>
  <si>
    <r>
      <rPr>
        <b/>
        <sz val="14"/>
        <color theme="1"/>
        <rFont val="Calibri"/>
        <family val="2"/>
        <scheme val="minor"/>
      </rPr>
      <t>Gear Selectivity for Sigmoidal Selection</t>
    </r>
    <r>
      <rPr>
        <sz val="11"/>
        <color theme="1"/>
        <rFont val="Calibri"/>
        <family val="2"/>
        <scheme val="minor"/>
      </rPr>
      <t xml:space="preserve">
This page estimates gear selectivity for gears that have a sigmoidal selection (e.g. trawls, some traps and hooks).  For this gear type, fish over a certain length are always caught, those below a length are never caught and there is a probability for those in between the lengths.  This uses the Logitstic Cumulative Distribution Function equation.  These equations can be used to show the difference between different meshes on the same gear.  Sp is the selection probability.
</t>
    </r>
  </si>
  <si>
    <t>Selection Parameters</t>
  </si>
  <si>
    <r>
      <t>How to use this spreadsheet:
  1.  Enter your length and probability of being caught  in columns B and C.
  2.  Under the Selection Parameters enter the same start and end values.  These are 
        reasonable  estimates for the species.  Look at your data for a good starting value 
        for L</t>
    </r>
    <r>
      <rPr>
        <vertAlign val="subscript"/>
        <sz val="11"/>
        <color theme="1"/>
        <rFont val="Calibri"/>
        <family val="2"/>
        <scheme val="minor"/>
      </rPr>
      <t>50</t>
    </r>
    <r>
      <rPr>
        <sz val="11"/>
        <color theme="1"/>
        <rFont val="Calibri"/>
        <family val="2"/>
        <scheme val="minor"/>
      </rPr>
      <t>.
  3.  Make sure that the Gear</t>
    </r>
    <r>
      <rPr>
        <vertAlign val="subscript"/>
        <sz val="11"/>
        <color theme="1"/>
        <rFont val="Calibri"/>
        <family val="2"/>
        <scheme val="minor"/>
      </rPr>
      <t>pred</t>
    </r>
    <r>
      <rPr>
        <sz val="11"/>
        <color theme="1"/>
        <rFont val="Calibri"/>
        <family val="2"/>
        <scheme val="minor"/>
      </rPr>
      <t xml:space="preserve">  equations use the end values. 
  4.  Once you have the calculated the residuals and their sum (B21), run Solver.  Make sure
        the equations are applied to all data and that that the SSR cell equation includes all data 
        points.
  5.  SOLVER
        5a.  Solver is found under Data Ribbon. 
        5b.  Set the "Target cell" for the sum of the squared residuals, "Equal to" will be
                minimum and "By Changing Cells" to the end parameter estimates.
        5c.  Run solver until you get the following statement:  "Solver found a solution.  All 
                constraints and optimality conditions are satisfied."  This may take a few runs to 
                achieve, depending on your starting values.</t>
    </r>
  </si>
  <si>
    <t>To calculate L75 and L25.
  1.  Estimate a parameter for L75 and L25 (look at graph) in the End column  
        (E26 and E27).
  2.  The equation is in the preceeding column (D).
  3.  Open Solver.
  4.  Set the "Target Cell" for cell with the equation (D26 or D27), "Equal to" 
        will be equal to value you are searching for (0.75 or 0.25), and "By 
         changing Cells" will be the length field (E26 or E27).
  5.  Run solver until you get the following statement:  "Solver found a 
        solution.  All  constraints and optimality conditions are satisfied."  This 
        may take a few runs to achieve, depending on your starting values.</t>
  </si>
  <si>
    <t>Known</t>
  </si>
  <si>
    <t>New</t>
  </si>
  <si>
    <t xml:space="preserve">Predicted </t>
  </si>
  <si>
    <t xml:space="preserve">Known Prob </t>
  </si>
  <si>
    <r>
      <rPr>
        <b/>
        <sz val="14"/>
        <color theme="1"/>
        <rFont val="Calibri"/>
        <family val="2"/>
        <scheme val="minor"/>
      </rPr>
      <t>Gear Selectivity for Sigmoidal Selection</t>
    </r>
    <r>
      <rPr>
        <sz val="11"/>
        <color theme="1"/>
        <rFont val="Calibri"/>
        <family val="2"/>
        <scheme val="minor"/>
      </rPr>
      <t xml:space="preserve">
This page shows how you can predict a new mesh sizes selectivity based on existing mesh sizes.  It uses simple equality equations to calculate the new L50, L75 and L25 values.  The alpha2 value is kept the same.  This information is then used to predict lengths for the new gear and graphed.   
</t>
    </r>
  </si>
  <si>
    <r>
      <t>How to use this spreadsheet:
First calculate the selectivity values (alpha2, L</t>
    </r>
    <r>
      <rPr>
        <vertAlign val="subscript"/>
        <sz val="11"/>
        <color theme="1"/>
        <rFont val="Calibri"/>
        <family val="2"/>
        <scheme val="minor"/>
      </rPr>
      <t>50</t>
    </r>
    <r>
      <rPr>
        <sz val="11"/>
        <color theme="1"/>
        <rFont val="Calibri"/>
        <family val="2"/>
        <scheme val="minor"/>
      </rPr>
      <t>, L</t>
    </r>
    <r>
      <rPr>
        <vertAlign val="subscript"/>
        <sz val="11"/>
        <color theme="1"/>
        <rFont val="Calibri"/>
        <family val="2"/>
        <scheme val="minor"/>
      </rPr>
      <t>75</t>
    </r>
    <r>
      <rPr>
        <sz val="11"/>
        <color theme="1"/>
        <rFont val="Calibri"/>
        <family val="2"/>
        <scheme val="minor"/>
      </rPr>
      <t>, L</t>
    </r>
    <r>
      <rPr>
        <vertAlign val="subscript"/>
        <sz val="11"/>
        <color theme="1"/>
        <rFont val="Calibri"/>
        <family val="2"/>
        <scheme val="minor"/>
      </rPr>
      <t>25</t>
    </r>
    <r>
      <rPr>
        <sz val="11"/>
        <color theme="1"/>
        <rFont val="Calibri"/>
        <family val="2"/>
        <scheme val="minor"/>
      </rPr>
      <t xml:space="preserve">, SF and SR) for the known mesh size (see previous sheet).   Then simply enter the new mesh size and the equations will calculate the new values.  Note that the L50 will change but that alpha2 always remains the same.
</t>
    </r>
  </si>
  <si>
    <t>What If Analysis:
Select the entire range of data (F through SSBPR) but do NOT include the headers.  Next, Data, What If Analysis...., Data Table. Then, enter the first F as the column input and Run.
How this works: By selecting the entire table, the YPR and SSBR are referenced.  Once the function runs, it is good even if you change values in the above parameters.  It will recalculate them.</t>
  </si>
  <si>
    <t>10% SSB</t>
  </si>
  <si>
    <t>30% SSB</t>
  </si>
  <si>
    <t>20% SSB</t>
  </si>
  <si>
    <t>&gt;2</t>
  </si>
  <si>
    <r>
      <rPr>
        <b/>
        <sz val="14"/>
        <color theme="1"/>
        <rFont val="Calibri"/>
        <family val="2"/>
        <scheme val="minor"/>
      </rPr>
      <t>Age- Growth</t>
    </r>
    <r>
      <rPr>
        <sz val="11"/>
        <color theme="1"/>
        <rFont val="Calibri"/>
        <family val="2"/>
        <scheme val="minor"/>
      </rPr>
      <t xml:space="preserve">
This page estimates the von Bertalanffy parameters based on a non-linear solver solution.  This non-linear solution is based on the least square residuals.   You can either choose to set t0 as a value, or to have it calculated with solver.  Remember that t0 is generally the 'gestation' time: for fish that is the time from spawning to becoming a juvenile fish.  The von Bertalanffy equation 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</si>
</sst>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_)"/>
    <numFmt numFmtId="165" formatCode="0.000_)"/>
    <numFmt numFmtId="166" formatCode="0.0000"/>
    <numFmt numFmtId="167" formatCode="0.00_)"/>
    <numFmt numFmtId="168" formatCode="0.00000"/>
    <numFmt numFmtId="169" formatCode="0.0000E+00"/>
    <numFmt numFmtId="170" formatCode="0.000"/>
  </numFmts>
  <fonts count="31" x14ac:knownFonts="1">
    <font>
      <sz val="11"/>
      <color theme="1"/>
      <name val="Calibri"/>
      <family val="2"/>
      <scheme val="minor"/>
    </font>
    <font>
      <i/>
      <sz val="10"/>
      <name val="Arial"/>
      <family val="2"/>
    </font>
    <font>
      <vertAlign val="subscript"/>
      <sz val="10"/>
      <name val="Symbol"/>
      <family val="1"/>
      <charset val="2"/>
    </font>
    <font>
      <vertAlign val="subscript"/>
      <sz val="10"/>
      <name val="Arial"/>
      <family val="2"/>
    </font>
    <font>
      <i/>
      <vertAlign val="subscript"/>
      <sz val="10"/>
      <name val="Arial"/>
      <family val="2"/>
    </font>
    <font>
      <sz val="8"/>
      <color indexed="81"/>
      <name val="Tahoma"/>
      <family val="2"/>
    </font>
    <font>
      <i/>
      <sz val="11"/>
      <color theme="1"/>
      <name val="Calibri"/>
      <family val="2"/>
      <scheme val="minor"/>
    </font>
    <font>
      <sz val="11"/>
      <color theme="1"/>
      <name val="Calibri"/>
      <family val="2"/>
    </font>
    <font>
      <b/>
      <sz val="11"/>
      <color theme="1"/>
      <name val="Calibri"/>
      <family val="2"/>
      <scheme val="minor"/>
    </font>
    <font>
      <sz val="10"/>
      <name val="Courier"/>
      <family val="3"/>
    </font>
    <font>
      <b/>
      <sz val="12"/>
      <name val="Arial"/>
      <family val="2"/>
    </font>
    <font>
      <b/>
      <sz val="10"/>
      <name val="Arial"/>
      <family val="2"/>
    </font>
    <font>
      <sz val="10"/>
      <name val="Arial"/>
      <family val="2"/>
    </font>
    <font>
      <b/>
      <i/>
      <sz val="10"/>
      <name val="Arial"/>
      <family val="2"/>
    </font>
    <font>
      <b/>
      <i/>
      <vertAlign val="subscript"/>
      <sz val="10"/>
      <name val="Arial"/>
      <family val="2"/>
    </font>
    <font>
      <sz val="11"/>
      <name val="Calibri"/>
      <family val="2"/>
      <scheme val="minor"/>
    </font>
    <font>
      <b/>
      <sz val="11"/>
      <color theme="1" tint="0.499984740745262"/>
      <name val="Arial"/>
      <family val="2"/>
    </font>
    <font>
      <b/>
      <i/>
      <sz val="11"/>
      <color theme="1" tint="0.499984740745262"/>
      <name val="Arial"/>
      <family val="2"/>
    </font>
    <font>
      <b/>
      <vertAlign val="subscript"/>
      <sz val="10"/>
      <name val="Arial"/>
      <family val="2"/>
    </font>
    <font>
      <b/>
      <vertAlign val="subscript"/>
      <sz val="10"/>
      <name val="Symbol"/>
      <family val="1"/>
      <charset val="2"/>
    </font>
    <font>
      <b/>
      <i/>
      <sz val="10"/>
      <name val="Symbol"/>
      <family val="1"/>
      <charset val="2"/>
    </font>
    <font>
      <vertAlign val="subscript"/>
      <sz val="11"/>
      <color theme="1"/>
      <name val="Calibri"/>
      <family val="2"/>
      <scheme val="minor"/>
    </font>
    <font>
      <b/>
      <sz val="8"/>
      <color indexed="81"/>
      <name val="Tahoma"/>
      <family val="2"/>
    </font>
    <font>
      <b/>
      <sz val="14"/>
      <color theme="1"/>
      <name val="Calibri"/>
      <family val="2"/>
      <scheme val="minor"/>
    </font>
    <font>
      <sz val="10"/>
      <color indexed="81"/>
      <name val="Tahoma"/>
      <family val="2"/>
    </font>
    <font>
      <sz val="11"/>
      <color indexed="8"/>
      <name val="Calibri"/>
      <family val="2"/>
    </font>
    <font>
      <b/>
      <sz val="10"/>
      <color indexed="81"/>
      <name val="Tahoma"/>
      <family val="2"/>
    </font>
    <font>
      <b/>
      <vertAlign val="subscript"/>
      <sz val="10"/>
      <color indexed="81"/>
      <name val="Tahoma"/>
      <family val="2"/>
    </font>
    <font>
      <vertAlign val="subscript"/>
      <sz val="10"/>
      <color indexed="81"/>
      <name val="Tahoma"/>
      <family val="2"/>
    </font>
    <font>
      <b/>
      <vertAlign val="subscript"/>
      <sz val="8"/>
      <color indexed="81"/>
      <name val="Tahoma"/>
      <family val="2"/>
    </font>
    <font>
      <sz val="11"/>
      <color rgb="FFFF0000"/>
      <name val="Calibri"/>
      <family val="2"/>
      <scheme val="minor"/>
    </font>
  </fonts>
  <fills count="17">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indexed="43"/>
        <bgColor indexed="64"/>
      </patternFill>
    </fill>
    <fill>
      <patternFill patternType="solid">
        <fgColor rgb="FFFFFFCC"/>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rgb="FFFFFF99"/>
        <bgColor indexed="64"/>
      </patternFill>
    </fill>
  </fills>
  <borders count="118">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thick">
        <color theme="3"/>
      </left>
      <right/>
      <top style="thick">
        <color theme="3"/>
      </top>
      <bottom/>
      <diagonal/>
    </border>
    <border>
      <left/>
      <right/>
      <top style="thick">
        <color theme="3"/>
      </top>
      <bottom/>
      <diagonal/>
    </border>
    <border>
      <left/>
      <right style="thick">
        <color theme="3"/>
      </right>
      <top style="thick">
        <color theme="3"/>
      </top>
      <bottom/>
      <diagonal/>
    </border>
    <border>
      <left style="thick">
        <color theme="3"/>
      </left>
      <right/>
      <top/>
      <bottom/>
      <diagonal/>
    </border>
    <border>
      <left/>
      <right style="thick">
        <color theme="3"/>
      </right>
      <top/>
      <bottom/>
      <diagonal/>
    </border>
    <border>
      <left style="thick">
        <color theme="3"/>
      </left>
      <right/>
      <top/>
      <bottom style="thick">
        <color theme="3"/>
      </bottom>
      <diagonal/>
    </border>
    <border>
      <left/>
      <right/>
      <top/>
      <bottom style="thick">
        <color theme="3"/>
      </bottom>
      <diagonal/>
    </border>
    <border>
      <left/>
      <right style="thick">
        <color theme="3"/>
      </right>
      <top/>
      <bottom style="thick">
        <color theme="3"/>
      </bottom>
      <diagonal/>
    </border>
    <border>
      <left style="medium">
        <color theme="2" tint="-0.749961851863155"/>
      </left>
      <right style="medium">
        <color theme="2" tint="-0.749961851863155"/>
      </right>
      <top style="medium">
        <color theme="2" tint="-0.749961851863155"/>
      </top>
      <bottom/>
      <diagonal/>
    </border>
    <border>
      <left style="medium">
        <color theme="2" tint="-0.749961851863155"/>
      </left>
      <right style="medium">
        <color theme="2" tint="-0.749961851863155"/>
      </right>
      <top/>
      <bottom style="medium">
        <color theme="2" tint="-0.749961851863155"/>
      </bottom>
      <diagonal/>
    </border>
    <border>
      <left style="medium">
        <color theme="6" tint="-0.24994659260841701"/>
      </left>
      <right/>
      <top style="medium">
        <color theme="6" tint="-0.24994659260841701"/>
      </top>
      <bottom/>
      <diagonal/>
    </border>
    <border>
      <left/>
      <right/>
      <top style="medium">
        <color theme="6" tint="-0.24994659260841701"/>
      </top>
      <bottom/>
      <diagonal/>
    </border>
    <border>
      <left/>
      <right style="medium">
        <color theme="6" tint="-0.24994659260841701"/>
      </right>
      <top style="medium">
        <color theme="6" tint="-0.24994659260841701"/>
      </top>
      <bottom/>
      <diagonal/>
    </border>
    <border>
      <left style="medium">
        <color theme="6" tint="-0.24994659260841701"/>
      </left>
      <right/>
      <top/>
      <bottom/>
      <diagonal/>
    </border>
    <border>
      <left/>
      <right style="medium">
        <color theme="6" tint="-0.24994659260841701"/>
      </right>
      <top/>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right style="medium">
        <color theme="6" tint="-0.24994659260841701"/>
      </right>
      <top/>
      <bottom style="medium">
        <color theme="6" tint="-0.24994659260841701"/>
      </bottom>
      <diagonal/>
    </border>
    <border>
      <left style="medium">
        <color theme="5" tint="-0.24994659260841701"/>
      </left>
      <right/>
      <top style="medium">
        <color theme="5" tint="-0.24994659260841701"/>
      </top>
      <bottom/>
      <diagonal/>
    </border>
    <border>
      <left/>
      <right/>
      <top style="medium">
        <color theme="5" tint="-0.24994659260841701"/>
      </top>
      <bottom/>
      <diagonal/>
    </border>
    <border>
      <left/>
      <right style="medium">
        <color theme="5" tint="-0.24994659260841701"/>
      </right>
      <top style="medium">
        <color theme="5" tint="-0.24994659260841701"/>
      </top>
      <bottom/>
      <diagonal/>
    </border>
    <border>
      <left style="medium">
        <color theme="5" tint="-0.24994659260841701"/>
      </left>
      <right/>
      <top/>
      <bottom/>
      <diagonal/>
    </border>
    <border>
      <left/>
      <right style="medium">
        <color theme="5" tint="-0.24994659260841701"/>
      </right>
      <top/>
      <bottom/>
      <diagonal/>
    </border>
    <border>
      <left style="medium">
        <color theme="5" tint="-0.24994659260841701"/>
      </left>
      <right/>
      <top/>
      <bottom style="medium">
        <color theme="5" tint="-0.24994659260841701"/>
      </bottom>
      <diagonal/>
    </border>
    <border>
      <left/>
      <right/>
      <top/>
      <bottom style="medium">
        <color theme="5" tint="-0.24994659260841701"/>
      </bottom>
      <diagonal/>
    </border>
    <border>
      <left/>
      <right style="medium">
        <color theme="5" tint="-0.24994659260841701"/>
      </right>
      <top/>
      <bottom style="medium">
        <color theme="5" tint="-0.24994659260841701"/>
      </bottom>
      <diagonal/>
    </border>
    <border>
      <left style="medium">
        <color theme="3"/>
      </left>
      <right/>
      <top style="medium">
        <color theme="3"/>
      </top>
      <bottom/>
      <diagonal/>
    </border>
    <border>
      <left/>
      <right/>
      <top style="medium">
        <color theme="3"/>
      </top>
      <bottom/>
      <diagonal/>
    </border>
    <border>
      <left/>
      <right style="medium">
        <color theme="3"/>
      </right>
      <top style="medium">
        <color theme="3"/>
      </top>
      <bottom/>
      <diagonal/>
    </border>
    <border>
      <left style="medium">
        <color theme="3"/>
      </left>
      <right/>
      <top/>
      <bottom/>
      <diagonal/>
    </border>
    <border>
      <left/>
      <right style="medium">
        <color theme="3"/>
      </right>
      <top/>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right/>
      <top style="medium">
        <color indexed="64"/>
      </top>
      <bottom style="thin">
        <color indexed="64"/>
      </bottom>
      <diagonal/>
    </border>
    <border>
      <left style="medium">
        <color theme="6" tint="-0.499984740745262"/>
      </left>
      <right/>
      <top style="medium">
        <color theme="6" tint="-0.499984740745262"/>
      </top>
      <bottom/>
      <diagonal/>
    </border>
    <border>
      <left/>
      <right/>
      <top style="medium">
        <color theme="6" tint="-0.499984740745262"/>
      </top>
      <bottom/>
      <diagonal/>
    </border>
    <border>
      <left/>
      <right style="medium">
        <color theme="6" tint="-0.499984740745262"/>
      </right>
      <top style="medium">
        <color theme="6" tint="-0.499984740745262"/>
      </top>
      <bottom/>
      <diagonal/>
    </border>
    <border>
      <left style="medium">
        <color theme="6" tint="-0.499984740745262"/>
      </left>
      <right/>
      <top/>
      <bottom/>
      <diagonal/>
    </border>
    <border>
      <left/>
      <right style="medium">
        <color theme="6" tint="-0.499984740745262"/>
      </right>
      <top/>
      <bottom/>
      <diagonal/>
    </border>
    <border>
      <left style="medium">
        <color theme="6" tint="-0.499984740745262"/>
      </left>
      <right/>
      <top/>
      <bottom style="medium">
        <color theme="6" tint="-0.499984740745262"/>
      </bottom>
      <diagonal/>
    </border>
    <border>
      <left/>
      <right/>
      <top/>
      <bottom style="medium">
        <color theme="6" tint="-0.499984740745262"/>
      </bottom>
      <diagonal/>
    </border>
    <border>
      <left/>
      <right style="medium">
        <color theme="6" tint="-0.499984740745262"/>
      </right>
      <top/>
      <bottom style="medium">
        <color theme="6" tint="-0.499984740745262"/>
      </bottom>
      <diagonal/>
    </border>
    <border>
      <left style="medium">
        <color theme="7" tint="-0.24994659260841701"/>
      </left>
      <right/>
      <top style="medium">
        <color theme="7" tint="-0.24994659260841701"/>
      </top>
      <bottom style="dashed">
        <color theme="1" tint="0.499984740745262"/>
      </bottom>
      <diagonal/>
    </border>
    <border>
      <left/>
      <right style="dashed">
        <color theme="1" tint="0.499984740745262"/>
      </right>
      <top style="medium">
        <color theme="7" tint="-0.24994659260841701"/>
      </top>
      <bottom style="dashed">
        <color theme="1" tint="0.499984740745262"/>
      </bottom>
      <diagonal/>
    </border>
    <border>
      <left/>
      <right/>
      <top style="medium">
        <color theme="7" tint="-0.24994659260841701"/>
      </top>
      <bottom/>
      <diagonal/>
    </border>
    <border>
      <left/>
      <right style="medium">
        <color theme="7" tint="-0.24994659260841701"/>
      </right>
      <top style="medium">
        <color theme="7" tint="-0.24994659260841701"/>
      </top>
      <bottom/>
      <diagonal/>
    </border>
    <border>
      <left style="medium">
        <color theme="7" tint="-0.24994659260841701"/>
      </left>
      <right/>
      <top/>
      <bottom/>
      <diagonal/>
    </border>
    <border>
      <left/>
      <right style="medium">
        <color theme="7" tint="-0.24994659260841701"/>
      </right>
      <top/>
      <bottom/>
      <diagonal/>
    </border>
    <border>
      <left style="medium">
        <color theme="7" tint="-0.24994659260841701"/>
      </left>
      <right/>
      <top/>
      <bottom style="medium">
        <color theme="7" tint="-0.24994659260841701"/>
      </bottom>
      <diagonal/>
    </border>
    <border>
      <left/>
      <right/>
      <top/>
      <bottom style="medium">
        <color theme="7" tint="-0.24994659260841701"/>
      </bottom>
      <diagonal/>
    </border>
    <border>
      <left/>
      <right style="medium">
        <color theme="7" tint="-0.24994659260841701"/>
      </right>
      <top/>
      <bottom style="medium">
        <color theme="7" tint="-0.24994659260841701"/>
      </bottom>
      <diagonal/>
    </border>
    <border>
      <left style="medium">
        <color theme="7" tint="-0.24994659260841701"/>
      </left>
      <right/>
      <top style="medium">
        <color theme="7" tint="-0.24994659260841701"/>
      </top>
      <bottom/>
      <diagonal/>
    </border>
    <border>
      <left style="medium">
        <color theme="3" tint="-0.24994659260841701"/>
      </left>
      <right/>
      <top style="medium">
        <color theme="3" tint="-0.24994659260841701"/>
      </top>
      <bottom/>
      <diagonal/>
    </border>
    <border>
      <left/>
      <right/>
      <top style="medium">
        <color theme="3" tint="-0.24994659260841701"/>
      </top>
      <bottom/>
      <diagonal/>
    </border>
    <border>
      <left/>
      <right style="medium">
        <color theme="3" tint="-0.24994659260841701"/>
      </right>
      <top style="medium">
        <color theme="3" tint="-0.24994659260841701"/>
      </top>
      <bottom/>
      <diagonal/>
    </border>
    <border>
      <left style="medium">
        <color theme="3" tint="-0.24994659260841701"/>
      </left>
      <right/>
      <top/>
      <bottom/>
      <diagonal/>
    </border>
    <border>
      <left/>
      <right style="medium">
        <color theme="3" tint="-0.24994659260841701"/>
      </right>
      <top/>
      <bottom/>
      <diagonal/>
    </border>
    <border>
      <left style="medium">
        <color theme="3" tint="-0.24994659260841701"/>
      </left>
      <right/>
      <top/>
      <bottom style="medium">
        <color theme="3" tint="-0.24994659260841701"/>
      </bottom>
      <diagonal/>
    </border>
    <border>
      <left/>
      <right/>
      <top/>
      <bottom style="medium">
        <color theme="3" tint="-0.24994659260841701"/>
      </bottom>
      <diagonal/>
    </border>
    <border>
      <left/>
      <right style="medium">
        <color theme="3" tint="-0.24994659260841701"/>
      </right>
      <top/>
      <bottom style="medium">
        <color theme="3" tint="-0.24994659260841701"/>
      </bottom>
      <diagonal/>
    </border>
    <border>
      <left style="medium">
        <color theme="9" tint="-0.499984740745262"/>
      </left>
      <right/>
      <top style="medium">
        <color theme="9" tint="-0.499984740745262"/>
      </top>
      <bottom/>
      <diagonal/>
    </border>
    <border>
      <left/>
      <right/>
      <top style="medium">
        <color theme="9" tint="-0.499984740745262"/>
      </top>
      <bottom/>
      <diagonal/>
    </border>
    <border>
      <left/>
      <right style="medium">
        <color theme="9" tint="-0.499984740745262"/>
      </right>
      <top style="medium">
        <color theme="9" tint="-0.499984740745262"/>
      </top>
      <bottom/>
      <diagonal/>
    </border>
    <border>
      <left style="medium">
        <color theme="9" tint="-0.499984740745262"/>
      </left>
      <right/>
      <top/>
      <bottom/>
      <diagonal/>
    </border>
    <border>
      <left/>
      <right style="medium">
        <color theme="9" tint="-0.499984740745262"/>
      </right>
      <top/>
      <bottom/>
      <diagonal/>
    </border>
    <border>
      <left style="medium">
        <color theme="9" tint="-0.499984740745262"/>
      </left>
      <right/>
      <top/>
      <bottom style="medium">
        <color theme="9" tint="-0.499984740745262"/>
      </bottom>
      <diagonal/>
    </border>
    <border>
      <left/>
      <right/>
      <top/>
      <bottom style="medium">
        <color theme="9" tint="-0.499984740745262"/>
      </bottom>
      <diagonal/>
    </border>
    <border>
      <left/>
      <right style="medium">
        <color theme="9" tint="-0.499984740745262"/>
      </right>
      <top/>
      <bottom style="medium">
        <color theme="9" tint="-0.499984740745262"/>
      </bottom>
      <diagonal/>
    </border>
    <border>
      <left style="medium">
        <color theme="3"/>
      </left>
      <right style="medium">
        <color theme="2" tint="-0.749961851863155"/>
      </right>
      <top style="medium">
        <color theme="2" tint="-0.749961851863155"/>
      </top>
      <bottom/>
      <diagonal/>
    </border>
    <border>
      <left style="medium">
        <color theme="3"/>
      </left>
      <right style="medium">
        <color theme="2" tint="-0.749961851863155"/>
      </right>
      <top/>
      <bottom style="medium">
        <color theme="2" tint="-0.749961851863155"/>
      </bottom>
      <diagonal/>
    </border>
    <border>
      <left style="thick">
        <color theme="3"/>
      </left>
      <right/>
      <top/>
      <bottom style="medium">
        <color theme="3"/>
      </bottom>
      <diagonal/>
    </border>
    <border>
      <left/>
      <right style="thick">
        <color theme="3"/>
      </right>
      <top/>
      <bottom style="medium">
        <color theme="3"/>
      </bottom>
      <diagonal/>
    </border>
    <border>
      <left style="thick">
        <color theme="7" tint="-0.24994659260841701"/>
      </left>
      <right/>
      <top style="thick">
        <color theme="7" tint="-0.24994659260841701"/>
      </top>
      <bottom/>
      <diagonal/>
    </border>
    <border>
      <left/>
      <right/>
      <top style="thick">
        <color theme="7" tint="-0.24994659260841701"/>
      </top>
      <bottom/>
      <diagonal/>
    </border>
    <border>
      <left/>
      <right style="thick">
        <color theme="7" tint="-0.24994659260841701"/>
      </right>
      <top style="thick">
        <color theme="7" tint="-0.24994659260841701"/>
      </top>
      <bottom/>
      <diagonal/>
    </border>
    <border>
      <left style="thick">
        <color theme="7" tint="-0.24994659260841701"/>
      </left>
      <right/>
      <top/>
      <bottom/>
      <diagonal/>
    </border>
    <border>
      <left/>
      <right style="thick">
        <color theme="7" tint="-0.24994659260841701"/>
      </right>
      <top/>
      <bottom/>
      <diagonal/>
    </border>
    <border>
      <left style="thick">
        <color theme="7" tint="-0.24994659260841701"/>
      </left>
      <right/>
      <top/>
      <bottom style="thick">
        <color theme="7" tint="-0.24994659260841701"/>
      </bottom>
      <diagonal/>
    </border>
    <border>
      <left/>
      <right/>
      <top/>
      <bottom style="thick">
        <color theme="7" tint="-0.24994659260841701"/>
      </bottom>
      <diagonal/>
    </border>
    <border>
      <left/>
      <right style="thick">
        <color theme="7" tint="-0.24994659260841701"/>
      </right>
      <top/>
      <bottom style="thick">
        <color theme="7" tint="-0.24994659260841701"/>
      </bottom>
      <diagonal/>
    </border>
    <border>
      <left style="thick">
        <color theme="3" tint="-0.24994659260841701"/>
      </left>
      <right/>
      <top style="thick">
        <color theme="3" tint="-0.24994659260841701"/>
      </top>
      <bottom/>
      <diagonal/>
    </border>
    <border>
      <left/>
      <right/>
      <top style="thick">
        <color theme="3" tint="-0.24994659260841701"/>
      </top>
      <bottom/>
      <diagonal/>
    </border>
    <border>
      <left/>
      <right style="thick">
        <color theme="3" tint="-0.24994659260841701"/>
      </right>
      <top style="thick">
        <color theme="3" tint="-0.24994659260841701"/>
      </top>
      <bottom/>
      <diagonal/>
    </border>
    <border>
      <left style="thick">
        <color theme="3" tint="-0.24994659260841701"/>
      </left>
      <right/>
      <top/>
      <bottom/>
      <diagonal/>
    </border>
    <border>
      <left/>
      <right style="thick">
        <color theme="3" tint="-0.24994659260841701"/>
      </right>
      <top/>
      <bottom/>
      <diagonal/>
    </border>
    <border>
      <left style="thick">
        <color theme="3" tint="-0.24994659260841701"/>
      </left>
      <right/>
      <top/>
      <bottom style="thick">
        <color theme="3" tint="-0.24994659260841701"/>
      </bottom>
      <diagonal/>
    </border>
    <border>
      <left/>
      <right/>
      <top/>
      <bottom style="thick">
        <color theme="3" tint="-0.24994659260841701"/>
      </bottom>
      <diagonal/>
    </border>
    <border>
      <left/>
      <right style="thick">
        <color theme="3" tint="-0.24994659260841701"/>
      </right>
      <top/>
      <bottom style="thick">
        <color theme="3" tint="-0.24994659260841701"/>
      </bottom>
      <diagonal/>
    </border>
    <border>
      <left style="mediumDashed">
        <color theme="3" tint="-0.24994659260841701"/>
      </left>
      <right style="thick">
        <color theme="3" tint="-0.24994659260841701"/>
      </right>
      <top style="mediumDashed">
        <color theme="3" tint="-0.24994659260841701"/>
      </top>
      <bottom style="mediumDashed">
        <color theme="3" tint="-0.24994659260841701"/>
      </bottom>
      <diagonal/>
    </border>
  </borders>
  <cellStyleXfs count="3">
    <xf numFmtId="0" fontId="0" fillId="0" borderId="0"/>
    <xf numFmtId="0" fontId="9" fillId="0" borderId="0"/>
    <xf numFmtId="0" fontId="25" fillId="0" borderId="0"/>
  </cellStyleXfs>
  <cellXfs count="292">
    <xf numFmtId="0" fontId="0" fillId="0" borderId="0" xfId="0"/>
    <xf numFmtId="2" fontId="0" fillId="0" borderId="0" xfId="0" applyNumberFormat="1"/>
    <xf numFmtId="0" fontId="0" fillId="0" borderId="0" xfId="0" applyAlignment="1">
      <alignment horizontal="center"/>
    </xf>
    <xf numFmtId="1" fontId="0" fillId="0" borderId="0" xfId="0" applyNumberFormat="1"/>
    <xf numFmtId="0" fontId="0" fillId="0" borderId="0" xfId="0" applyFill="1" applyBorder="1" applyAlignment="1"/>
    <xf numFmtId="0" fontId="11" fillId="0" borderId="0" xfId="1" applyFont="1" applyFill="1" applyBorder="1" applyAlignment="1">
      <alignment horizontal="left"/>
    </xf>
    <xf numFmtId="0" fontId="12" fillId="0" borderId="0" xfId="1" applyFont="1" applyFill="1" applyBorder="1" applyAlignment="1">
      <alignment horizontal="center"/>
    </xf>
    <xf numFmtId="0" fontId="12" fillId="0" borderId="0" xfId="1" applyFont="1" applyAlignment="1">
      <alignment horizontal="center"/>
    </xf>
    <xf numFmtId="0" fontId="11" fillId="0" borderId="0" xfId="1" applyFont="1" applyFill="1" applyBorder="1" applyAlignment="1">
      <alignment horizontal="center"/>
    </xf>
    <xf numFmtId="164" fontId="12" fillId="0" borderId="0" xfId="1" applyNumberFormat="1" applyFont="1" applyFill="1" applyBorder="1" applyAlignment="1" applyProtection="1">
      <alignment horizontal="center"/>
    </xf>
    <xf numFmtId="0" fontId="12" fillId="5" borderId="0" xfId="1" applyFont="1" applyFill="1" applyBorder="1" applyAlignment="1">
      <alignment horizontal="center"/>
    </xf>
    <xf numFmtId="0" fontId="0" fillId="5" borderId="0" xfId="0" applyFill="1" applyBorder="1"/>
    <xf numFmtId="0" fontId="12" fillId="6" borderId="0" xfId="1" applyFont="1" applyFill="1" applyBorder="1" applyAlignment="1">
      <alignment horizontal="center"/>
    </xf>
    <xf numFmtId="0" fontId="0" fillId="6" borderId="0" xfId="0" applyFill="1" applyBorder="1"/>
    <xf numFmtId="0" fontId="12" fillId="0" borderId="0" xfId="1" applyNumberFormat="1" applyFont="1" applyFill="1" applyBorder="1" applyAlignment="1" applyProtection="1">
      <alignment horizontal="center"/>
    </xf>
    <xf numFmtId="0" fontId="13" fillId="0" borderId="0" xfId="0" applyFont="1" applyFill="1" applyBorder="1"/>
    <xf numFmtId="0" fontId="13" fillId="0" borderId="0" xfId="0" applyFont="1" applyFill="1" applyBorder="1" applyAlignment="1">
      <alignment horizontal="left"/>
    </xf>
    <xf numFmtId="0" fontId="12" fillId="0" borderId="0" xfId="1" applyFont="1" applyFill="1" applyAlignment="1">
      <alignment horizontal="center"/>
    </xf>
    <xf numFmtId="0" fontId="0" fillId="0" borderId="0" xfId="0" applyFill="1" applyBorder="1"/>
    <xf numFmtId="0" fontId="0" fillId="0" borderId="0" xfId="0" applyFill="1"/>
    <xf numFmtId="0" fontId="13" fillId="4" borderId="0" xfId="1" applyFont="1" applyFill="1" applyBorder="1" applyAlignment="1">
      <alignment horizontal="center"/>
    </xf>
    <xf numFmtId="0" fontId="13" fillId="5" borderId="0" xfId="1" applyFont="1" applyFill="1" applyBorder="1" applyAlignment="1">
      <alignment horizontal="center"/>
    </xf>
    <xf numFmtId="0" fontId="20" fillId="4" borderId="0" xfId="1" applyFont="1" applyFill="1" applyBorder="1" applyAlignment="1">
      <alignment horizontal="center"/>
    </xf>
    <xf numFmtId="0" fontId="11" fillId="7" borderId="2" xfId="1" applyFont="1" applyFill="1" applyBorder="1" applyAlignment="1" applyProtection="1">
      <alignment horizontal="center"/>
    </xf>
    <xf numFmtId="0" fontId="13" fillId="4" borderId="4" xfId="1" applyFont="1" applyFill="1" applyBorder="1" applyAlignment="1" applyProtection="1">
      <alignment horizontal="center"/>
    </xf>
    <xf numFmtId="0" fontId="11" fillId="4" borderId="4" xfId="1" applyFont="1" applyFill="1" applyBorder="1" applyAlignment="1" applyProtection="1">
      <alignment horizontal="center"/>
    </xf>
    <xf numFmtId="0" fontId="11" fillId="4" borderId="5" xfId="1" applyFont="1" applyFill="1" applyBorder="1" applyAlignment="1" applyProtection="1">
      <alignment horizontal="center"/>
    </xf>
    <xf numFmtId="0" fontId="13" fillId="5" borderId="3" xfId="1" applyFont="1" applyFill="1" applyBorder="1" applyAlignment="1" applyProtection="1">
      <alignment horizontal="center"/>
    </xf>
    <xf numFmtId="0" fontId="11" fillId="5" borderId="5" xfId="1" applyFont="1" applyFill="1" applyBorder="1" applyAlignment="1">
      <alignment horizontal="center"/>
    </xf>
    <xf numFmtId="0" fontId="11" fillId="6" borderId="6" xfId="1" applyFont="1" applyFill="1" applyBorder="1" applyAlignment="1">
      <alignment horizontal="center"/>
    </xf>
    <xf numFmtId="0" fontId="8" fillId="6" borderId="5" xfId="0" applyFont="1" applyFill="1" applyBorder="1"/>
    <xf numFmtId="0" fontId="12" fillId="8" borderId="7" xfId="1" applyFont="1" applyFill="1" applyBorder="1" applyAlignment="1" applyProtection="1">
      <alignment horizontal="center"/>
    </xf>
    <xf numFmtId="0" fontId="0" fillId="9" borderId="9" xfId="0" applyFill="1" applyBorder="1"/>
    <xf numFmtId="2" fontId="0" fillId="9" borderId="9" xfId="0" applyNumberFormat="1" applyFill="1" applyBorder="1" applyAlignment="1">
      <alignment horizontal="right"/>
    </xf>
    <xf numFmtId="164" fontId="12" fillId="9" borderId="9" xfId="1" applyNumberFormat="1" applyFont="1" applyFill="1" applyBorder="1" applyAlignment="1" applyProtection="1">
      <alignment horizontal="right"/>
    </xf>
    <xf numFmtId="0" fontId="12" fillId="9" borderId="9" xfId="1" applyFont="1" applyFill="1" applyBorder="1" applyAlignment="1">
      <alignment horizontal="center"/>
    </xf>
    <xf numFmtId="0" fontId="12" fillId="9" borderId="10" xfId="1" applyFont="1" applyFill="1" applyBorder="1" applyAlignment="1">
      <alignment horizontal="center"/>
    </xf>
    <xf numFmtId="166" fontId="0" fillId="10" borderId="8" xfId="0" applyNumberFormat="1" applyFill="1" applyBorder="1"/>
    <xf numFmtId="167" fontId="12" fillId="10" borderId="10" xfId="1" applyNumberFormat="1" applyFont="1" applyFill="1" applyBorder="1" applyAlignment="1">
      <alignment horizontal="right"/>
    </xf>
    <xf numFmtId="2" fontId="12" fillId="11" borderId="11" xfId="1" applyNumberFormat="1" applyFont="1" applyFill="1" applyBorder="1" applyAlignment="1">
      <alignment horizontal="right"/>
    </xf>
    <xf numFmtId="2" fontId="0" fillId="11" borderId="10" xfId="0" applyNumberFormat="1" applyFill="1" applyBorder="1"/>
    <xf numFmtId="2" fontId="0" fillId="3" borderId="0" xfId="0" applyNumberFormat="1" applyFill="1" applyBorder="1"/>
    <xf numFmtId="0" fontId="12" fillId="8" borderId="12" xfId="1" applyFont="1" applyFill="1" applyBorder="1" applyAlignment="1" applyProtection="1">
      <alignment horizontal="center"/>
    </xf>
    <xf numFmtId="2" fontId="0" fillId="9" borderId="14" xfId="0" applyNumberFormat="1" applyFill="1" applyBorder="1"/>
    <xf numFmtId="2" fontId="0" fillId="9" borderId="14" xfId="0" applyNumberFormat="1" applyFill="1" applyBorder="1" applyAlignment="1">
      <alignment horizontal="right"/>
    </xf>
    <xf numFmtId="164" fontId="12" fillId="9" borderId="14" xfId="1" applyNumberFormat="1" applyFont="1" applyFill="1" applyBorder="1" applyAlignment="1" applyProtection="1">
      <alignment horizontal="right"/>
    </xf>
    <xf numFmtId="2" fontId="12" fillId="9" borderId="14" xfId="1" applyNumberFormat="1" applyFont="1" applyFill="1" applyBorder="1" applyAlignment="1">
      <alignment horizontal="right"/>
    </xf>
    <xf numFmtId="2" fontId="12" fillId="9" borderId="15" xfId="1" applyNumberFormat="1" applyFont="1" applyFill="1" applyBorder="1" applyAlignment="1">
      <alignment horizontal="right"/>
    </xf>
    <xf numFmtId="166" fontId="0" fillId="10" borderId="13" xfId="0" applyNumberFormat="1" applyFill="1" applyBorder="1"/>
    <xf numFmtId="167" fontId="12" fillId="10" borderId="15" xfId="1" applyNumberFormat="1" applyFont="1" applyFill="1" applyBorder="1" applyAlignment="1">
      <alignment horizontal="right"/>
    </xf>
    <xf numFmtId="2" fontId="12" fillId="11" borderId="16" xfId="1" applyNumberFormat="1" applyFont="1" applyFill="1" applyBorder="1" applyAlignment="1">
      <alignment horizontal="right"/>
    </xf>
    <xf numFmtId="2" fontId="0" fillId="11" borderId="15" xfId="0" applyNumberFormat="1" applyFill="1" applyBorder="1"/>
    <xf numFmtId="0" fontId="12" fillId="8" borderId="17" xfId="1" applyFont="1" applyFill="1" applyBorder="1" applyAlignment="1" applyProtection="1">
      <alignment horizontal="center"/>
    </xf>
    <xf numFmtId="2" fontId="0" fillId="9" borderId="19" xfId="0" applyNumberFormat="1" applyFill="1" applyBorder="1"/>
    <xf numFmtId="164" fontId="12" fillId="9" borderId="19" xfId="1" applyNumberFormat="1" applyFont="1" applyFill="1" applyBorder="1" applyAlignment="1" applyProtection="1">
      <alignment horizontal="right"/>
    </xf>
    <xf numFmtId="0" fontId="11" fillId="3" borderId="3" xfId="1" applyFont="1" applyFill="1" applyBorder="1" applyAlignment="1">
      <alignment horizontal="center"/>
    </xf>
    <xf numFmtId="0" fontId="11" fillId="3" borderId="21" xfId="1" applyFont="1" applyFill="1" applyBorder="1" applyAlignment="1">
      <alignment horizontal="center"/>
    </xf>
    <xf numFmtId="0" fontId="11" fillId="12" borderId="22" xfId="1" applyFont="1" applyFill="1" applyBorder="1" applyAlignment="1">
      <alignment horizontal="center"/>
    </xf>
    <xf numFmtId="0" fontId="11" fillId="12" borderId="23" xfId="1" applyFont="1" applyFill="1" applyBorder="1" applyAlignment="1">
      <alignment horizontal="center"/>
    </xf>
    <xf numFmtId="0" fontId="0" fillId="0" borderId="0" xfId="0" applyFill="1" applyAlignment="1">
      <alignment vertical="top" wrapText="1"/>
    </xf>
    <xf numFmtId="2" fontId="11" fillId="13" borderId="8" xfId="1" applyNumberFormat="1" applyFont="1" applyFill="1" applyBorder="1" applyAlignment="1">
      <alignment horizontal="center"/>
    </xf>
    <xf numFmtId="2" fontId="0" fillId="13" borderId="24" xfId="0" applyNumberFormat="1" applyFill="1" applyBorder="1"/>
    <xf numFmtId="0" fontId="0" fillId="13" borderId="13" xfId="0" applyFill="1" applyBorder="1"/>
    <xf numFmtId="0" fontId="0" fillId="13" borderId="15" xfId="0" applyFill="1" applyBorder="1"/>
    <xf numFmtId="2" fontId="11" fillId="3" borderId="13" xfId="1" applyNumberFormat="1" applyFont="1" applyFill="1" applyBorder="1" applyAlignment="1">
      <alignment horizontal="center"/>
    </xf>
    <xf numFmtId="2" fontId="0" fillId="3" borderId="25" xfId="0" applyNumberFormat="1" applyFill="1" applyBorder="1"/>
    <xf numFmtId="2" fontId="0" fillId="14" borderId="15" xfId="0" applyNumberFormat="1" applyFill="1" applyBorder="1"/>
    <xf numFmtId="0" fontId="0" fillId="14" borderId="22" xfId="0" applyFill="1" applyBorder="1" applyAlignment="1">
      <alignment vertical="top" wrapText="1"/>
    </xf>
    <xf numFmtId="0" fontId="0" fillId="14" borderId="13" xfId="0" applyFill="1" applyBorder="1" applyAlignment="1">
      <alignment vertical="top" wrapText="1"/>
    </xf>
    <xf numFmtId="0" fontId="0" fillId="14" borderId="13" xfId="0" applyFill="1" applyBorder="1"/>
    <xf numFmtId="2" fontId="0" fillId="14" borderId="14" xfId="0" applyNumberFormat="1" applyFill="1" applyBorder="1"/>
    <xf numFmtId="0" fontId="0" fillId="14" borderId="18" xfId="0" applyFill="1" applyBorder="1" applyAlignment="1">
      <alignment vertical="top" wrapText="1"/>
    </xf>
    <xf numFmtId="2" fontId="11" fillId="3" borderId="18" xfId="1" applyNumberFormat="1" applyFont="1" applyFill="1" applyBorder="1" applyAlignment="1">
      <alignment horizontal="center"/>
    </xf>
    <xf numFmtId="2" fontId="0" fillId="3" borderId="27" xfId="0" applyNumberFormat="1" applyFill="1" applyBorder="1"/>
    <xf numFmtId="0" fontId="0" fillId="0" borderId="18" xfId="0" applyBorder="1"/>
    <xf numFmtId="2" fontId="0" fillId="0" borderId="20" xfId="0" applyNumberFormat="1" applyBorder="1"/>
    <xf numFmtId="0" fontId="0" fillId="0" borderId="0" xfId="0" applyFill="1" applyAlignment="1">
      <alignment wrapText="1"/>
    </xf>
    <xf numFmtId="0" fontId="0" fillId="0" borderId="0" xfId="0" applyAlignment="1">
      <alignment horizontal="center"/>
    </xf>
    <xf numFmtId="0" fontId="0" fillId="0" borderId="0" xfId="0" applyFill="1" applyAlignment="1">
      <alignment horizontal="center" vertical="top" wrapText="1"/>
    </xf>
    <xf numFmtId="0" fontId="0" fillId="6" borderId="0" xfId="0" applyFill="1" applyBorder="1" applyAlignment="1">
      <alignment horizontal="right"/>
    </xf>
    <xf numFmtId="0" fontId="0" fillId="6" borderId="31" xfId="0" applyFill="1" applyBorder="1"/>
    <xf numFmtId="0" fontId="0" fillId="6" borderId="32" xfId="0" applyFill="1" applyBorder="1" applyAlignment="1">
      <alignment horizontal="right"/>
    </xf>
    <xf numFmtId="0" fontId="1" fillId="6" borderId="31" xfId="0" applyFont="1" applyFill="1" applyBorder="1" applyAlignment="1">
      <alignment horizontal="center"/>
    </xf>
    <xf numFmtId="0" fontId="1" fillId="6" borderId="33" xfId="0" applyFont="1" applyFill="1" applyBorder="1" applyAlignment="1">
      <alignment horizontal="center"/>
    </xf>
    <xf numFmtId="0" fontId="0" fillId="6" borderId="34" xfId="0" applyFill="1" applyBorder="1"/>
    <xf numFmtId="166" fontId="0" fillId="6" borderId="32" xfId="0" applyNumberFormat="1" applyFill="1" applyBorder="1"/>
    <xf numFmtId="166" fontId="0" fillId="6" borderId="35" xfId="0" applyNumberFormat="1" applyFill="1" applyBorder="1"/>
    <xf numFmtId="0" fontId="1" fillId="7" borderId="14" xfId="2" applyFont="1" applyFill="1" applyBorder="1" applyAlignment="1">
      <alignment horizontal="center"/>
    </xf>
    <xf numFmtId="0" fontId="25" fillId="0" borderId="0" xfId="2" applyAlignment="1">
      <alignment horizontal="center"/>
    </xf>
    <xf numFmtId="166" fontId="0" fillId="0" borderId="0" xfId="0" applyNumberFormat="1"/>
    <xf numFmtId="166" fontId="0" fillId="12" borderId="0" xfId="0" applyNumberFormat="1" applyFill="1"/>
    <xf numFmtId="0" fontId="0" fillId="12" borderId="36" xfId="0" applyFill="1" applyBorder="1" applyAlignment="1">
      <alignment horizontal="center" vertical="top" wrapText="1"/>
    </xf>
    <xf numFmtId="166" fontId="0" fillId="12" borderId="37" xfId="0" applyNumberFormat="1" applyFill="1" applyBorder="1" applyAlignment="1">
      <alignment horizontal="center" vertical="top" wrapText="1"/>
    </xf>
    <xf numFmtId="2" fontId="0" fillId="0" borderId="0" xfId="0" applyNumberFormat="1" applyAlignment="1">
      <alignment horizontal="right"/>
    </xf>
    <xf numFmtId="2" fontId="0" fillId="12" borderId="0" xfId="0" applyNumberFormat="1" applyFill="1"/>
    <xf numFmtId="0" fontId="1" fillId="3" borderId="14" xfId="0" applyFont="1" applyFill="1" applyBorder="1" applyAlignment="1">
      <alignment horizontal="center"/>
    </xf>
    <xf numFmtId="0" fontId="0" fillId="3" borderId="14" xfId="0" applyFill="1" applyBorder="1"/>
    <xf numFmtId="0" fontId="0" fillId="8" borderId="14" xfId="0" applyFill="1" applyBorder="1" applyAlignment="1">
      <alignment horizontal="center"/>
    </xf>
    <xf numFmtId="0" fontId="0" fillId="8" borderId="14" xfId="0" applyFill="1" applyBorder="1"/>
    <xf numFmtId="0" fontId="0" fillId="2" borderId="14" xfId="0" applyFill="1" applyBorder="1" applyAlignment="1">
      <alignment horizontal="center"/>
    </xf>
    <xf numFmtId="0" fontId="12" fillId="7" borderId="14" xfId="2" applyFont="1" applyFill="1" applyBorder="1" applyAlignment="1">
      <alignment horizontal="center"/>
    </xf>
    <xf numFmtId="0" fontId="0" fillId="0" borderId="0" xfId="0" applyBorder="1"/>
    <xf numFmtId="0" fontId="6" fillId="0" borderId="0" xfId="0" applyFont="1" applyFill="1" applyBorder="1" applyAlignment="1">
      <alignment horizontal="center"/>
    </xf>
    <xf numFmtId="2" fontId="0" fillId="0" borderId="0" xfId="0" applyNumberFormat="1" applyFill="1" applyBorder="1"/>
    <xf numFmtId="0" fontId="7" fillId="0" borderId="0" xfId="0" applyFont="1" applyFill="1" applyBorder="1"/>
    <xf numFmtId="0" fontId="0" fillId="0" borderId="0" xfId="0" applyAlignment="1">
      <alignment vertical="top"/>
    </xf>
    <xf numFmtId="169" fontId="0" fillId="0" borderId="0" xfId="0" applyNumberFormat="1"/>
    <xf numFmtId="0" fontId="0" fillId="14" borderId="14" xfId="0" applyFill="1" applyBorder="1"/>
    <xf numFmtId="0" fontId="0" fillId="0" borderId="1" xfId="0" applyFill="1" applyBorder="1" applyAlignment="1"/>
    <xf numFmtId="0" fontId="6" fillId="0" borderId="62" xfId="0" applyFont="1" applyFill="1" applyBorder="1" applyAlignment="1">
      <alignment horizontal="center"/>
    </xf>
    <xf numFmtId="0" fontId="6" fillId="0" borderId="62" xfId="0" applyFont="1" applyFill="1" applyBorder="1" applyAlignment="1">
      <alignment horizontal="centerContinuous"/>
    </xf>
    <xf numFmtId="0" fontId="0" fillId="2" borderId="1" xfId="0" applyFill="1" applyBorder="1" applyAlignment="1"/>
    <xf numFmtId="0" fontId="8" fillId="0" borderId="0" xfId="0" applyFont="1" applyAlignment="1">
      <alignment horizontal="center"/>
    </xf>
    <xf numFmtId="0" fontId="0" fillId="0" borderId="0" xfId="0" quotePrefix="1" applyFill="1"/>
    <xf numFmtId="0" fontId="13" fillId="4" borderId="66" xfId="0" applyFont="1" applyFill="1" applyBorder="1"/>
    <xf numFmtId="0" fontId="13" fillId="4" borderId="68" xfId="0" applyFont="1" applyFill="1" applyBorder="1"/>
    <xf numFmtId="0" fontId="13" fillId="4" borderId="63" xfId="0" applyFont="1" applyFill="1" applyBorder="1" applyAlignment="1">
      <alignment horizontal="left"/>
    </xf>
    <xf numFmtId="0" fontId="15" fillId="4" borderId="64" xfId="0" applyFont="1" applyFill="1" applyBorder="1"/>
    <xf numFmtId="0" fontId="15" fillId="4" borderId="65" xfId="0" applyFont="1" applyFill="1" applyBorder="1"/>
    <xf numFmtId="0" fontId="13" fillId="4" borderId="66" xfId="1" applyFont="1" applyFill="1" applyBorder="1" applyAlignment="1" applyProtection="1">
      <alignment horizontal="center"/>
    </xf>
    <xf numFmtId="0" fontId="13" fillId="4" borderId="67" xfId="0" applyFont="1" applyFill="1" applyBorder="1" applyAlignment="1">
      <alignment horizontal="right"/>
    </xf>
    <xf numFmtId="0" fontId="13" fillId="4" borderId="68" xfId="1" applyFont="1" applyFill="1" applyBorder="1" applyAlignment="1" applyProtection="1">
      <alignment horizontal="center"/>
    </xf>
    <xf numFmtId="0" fontId="20" fillId="4" borderId="69" xfId="1" applyFont="1" applyFill="1" applyBorder="1" applyAlignment="1">
      <alignment horizontal="center"/>
    </xf>
    <xf numFmtId="0" fontId="13" fillId="4" borderId="70" xfId="0" applyFont="1" applyFill="1" applyBorder="1" applyAlignment="1">
      <alignment horizontal="right"/>
    </xf>
    <xf numFmtId="0" fontId="16" fillId="5" borderId="71" xfId="1" applyFont="1" applyFill="1" applyBorder="1" applyAlignment="1" applyProtection="1">
      <alignment horizontal="left"/>
    </xf>
    <xf numFmtId="2" fontId="17" fillId="5" borderId="72" xfId="1" applyNumberFormat="1" applyFont="1" applyFill="1" applyBorder="1" applyAlignment="1">
      <alignment horizontal="center"/>
    </xf>
    <xf numFmtId="0" fontId="12" fillId="5" borderId="73" xfId="1" applyFont="1" applyFill="1" applyBorder="1" applyAlignment="1">
      <alignment horizontal="center"/>
    </xf>
    <xf numFmtId="0" fontId="12" fillId="5" borderId="74" xfId="1" applyFont="1" applyFill="1" applyBorder="1" applyAlignment="1">
      <alignment horizontal="center"/>
    </xf>
    <xf numFmtId="0" fontId="13" fillId="5" borderId="75" xfId="1" applyFont="1" applyFill="1" applyBorder="1" applyAlignment="1" applyProtection="1">
      <alignment horizontal="left"/>
    </xf>
    <xf numFmtId="0" fontId="12" fillId="5" borderId="76" xfId="1" applyFont="1" applyFill="1" applyBorder="1" applyAlignment="1">
      <alignment horizontal="center"/>
    </xf>
    <xf numFmtId="165" fontId="11" fillId="5" borderId="77" xfId="1" applyNumberFormat="1" applyFont="1" applyFill="1" applyBorder="1" applyAlignment="1" applyProtection="1">
      <alignment horizontal="left"/>
    </xf>
    <xf numFmtId="0" fontId="13" fillId="5" borderId="78" xfId="1" applyFont="1" applyFill="1" applyBorder="1" applyAlignment="1">
      <alignment horizontal="center"/>
    </xf>
    <xf numFmtId="0" fontId="12" fillId="5" borderId="78" xfId="1" applyFont="1" applyFill="1" applyBorder="1" applyAlignment="1">
      <alignment horizontal="center"/>
    </xf>
    <xf numFmtId="0" fontId="12" fillId="5" borderId="79" xfId="1" applyFont="1" applyFill="1" applyBorder="1" applyAlignment="1">
      <alignment horizontal="center"/>
    </xf>
    <xf numFmtId="0" fontId="12" fillId="5" borderId="75" xfId="1" applyFont="1" applyFill="1" applyBorder="1" applyAlignment="1">
      <alignment horizontal="center"/>
    </xf>
    <xf numFmtId="0" fontId="0" fillId="5" borderId="75" xfId="0" applyFill="1" applyBorder="1"/>
    <xf numFmtId="0" fontId="0" fillId="5" borderId="76" xfId="0" applyFill="1" applyBorder="1"/>
    <xf numFmtId="0" fontId="12" fillId="5" borderId="77" xfId="1" applyFont="1" applyFill="1" applyBorder="1" applyAlignment="1">
      <alignment horizontal="center"/>
    </xf>
    <xf numFmtId="0" fontId="12" fillId="6" borderId="84" xfId="1" applyFont="1" applyFill="1" applyBorder="1" applyAlignment="1">
      <alignment horizontal="center"/>
    </xf>
    <xf numFmtId="0" fontId="0" fillId="6" borderId="85" xfId="0" applyFill="1" applyBorder="1"/>
    <xf numFmtId="0" fontId="0" fillId="6" borderId="84" xfId="0" applyFill="1" applyBorder="1"/>
    <xf numFmtId="0" fontId="12" fillId="6" borderId="86" xfId="1" applyFont="1" applyFill="1" applyBorder="1" applyAlignment="1">
      <alignment horizontal="center"/>
    </xf>
    <xf numFmtId="0" fontId="12" fillId="6" borderId="87" xfId="1" applyFont="1" applyFill="1" applyBorder="1" applyAlignment="1">
      <alignment horizontal="center"/>
    </xf>
    <xf numFmtId="0" fontId="0" fillId="6" borderId="87" xfId="0" applyFill="1" applyBorder="1"/>
    <xf numFmtId="0" fontId="0" fillId="6" borderId="88" xfId="0" applyFill="1" applyBorder="1"/>
    <xf numFmtId="0" fontId="0" fillId="3" borderId="89" xfId="0" applyFill="1" applyBorder="1"/>
    <xf numFmtId="0" fontId="11" fillId="3" borderId="90" xfId="1" applyFont="1" applyFill="1" applyBorder="1" applyAlignment="1">
      <alignment horizontal="center"/>
    </xf>
    <xf numFmtId="0" fontId="8" fillId="3" borderId="91" xfId="0" applyFont="1" applyFill="1" applyBorder="1"/>
    <xf numFmtId="0" fontId="11" fillId="3" borderId="92" xfId="1" applyFont="1" applyFill="1" applyBorder="1" applyAlignment="1">
      <alignment horizontal="center"/>
    </xf>
    <xf numFmtId="168" fontId="0" fillId="3" borderId="93" xfId="0" applyNumberFormat="1" applyFill="1" applyBorder="1"/>
    <xf numFmtId="0" fontId="11" fillId="3" borderId="94" xfId="1" applyFont="1" applyFill="1" applyBorder="1" applyAlignment="1">
      <alignment horizontal="center"/>
    </xf>
    <xf numFmtId="2" fontId="0" fillId="3" borderId="95" xfId="0" applyNumberFormat="1" applyFill="1" applyBorder="1"/>
    <xf numFmtId="168" fontId="0" fillId="3" borderId="96" xfId="0" applyNumberFormat="1" applyFill="1" applyBorder="1"/>
    <xf numFmtId="0" fontId="0" fillId="2" borderId="0" xfId="0" applyFill="1" applyBorder="1" applyAlignment="1"/>
    <xf numFmtId="166" fontId="0" fillId="0" borderId="0" xfId="0" applyNumberFormat="1" applyFill="1" applyBorder="1" applyAlignment="1">
      <alignment horizontal="center" vertical="top" wrapText="1"/>
    </xf>
    <xf numFmtId="0" fontId="0" fillId="6" borderId="60" xfId="0" applyFill="1" applyBorder="1"/>
    <xf numFmtId="0" fontId="0" fillId="12" borderId="97" xfId="0" applyFill="1" applyBorder="1" applyAlignment="1">
      <alignment horizontal="center" vertical="top" wrapText="1"/>
    </xf>
    <xf numFmtId="166" fontId="0" fillId="12" borderId="98" xfId="0" applyNumberFormat="1" applyFill="1" applyBorder="1" applyAlignment="1">
      <alignment horizontal="center" vertical="top" wrapText="1"/>
    </xf>
    <xf numFmtId="0" fontId="1" fillId="0" borderId="0" xfId="0" applyFont="1" applyFill="1" applyBorder="1" applyAlignment="1">
      <alignment horizontal="center"/>
    </xf>
    <xf numFmtId="166" fontId="0" fillId="0" borderId="0" xfId="0" applyNumberFormat="1" applyFill="1" applyBorder="1"/>
    <xf numFmtId="0" fontId="1" fillId="6" borderId="99" xfId="0" applyFont="1" applyFill="1" applyBorder="1" applyAlignment="1">
      <alignment horizontal="center"/>
    </xf>
    <xf numFmtId="166" fontId="0" fillId="6" borderId="100" xfId="0" applyNumberFormat="1" applyFill="1" applyBorder="1"/>
    <xf numFmtId="0" fontId="0" fillId="5" borderId="102" xfId="0" applyFill="1" applyBorder="1" applyAlignment="1">
      <alignment horizontal="right"/>
    </xf>
    <xf numFmtId="0" fontId="0" fillId="5" borderId="103" xfId="0" applyFill="1" applyBorder="1" applyAlignment="1">
      <alignment horizontal="right"/>
    </xf>
    <xf numFmtId="0" fontId="0" fillId="5" borderId="107" xfId="0" applyFill="1" applyBorder="1"/>
    <xf numFmtId="0" fontId="0" fillId="0" borderId="0" xfId="0" applyFill="1" applyBorder="1" applyAlignment="1">
      <alignment vertical="top" wrapText="1"/>
    </xf>
    <xf numFmtId="2" fontId="0" fillId="5" borderId="0" xfId="0" applyNumberFormat="1" applyFill="1" applyBorder="1"/>
    <xf numFmtId="2" fontId="0" fillId="5" borderId="105" xfId="0" applyNumberFormat="1" applyFill="1" applyBorder="1"/>
    <xf numFmtId="2" fontId="0" fillId="5" borderId="108" xfId="0" applyNumberFormat="1" applyFill="1" applyBorder="1"/>
    <xf numFmtId="0" fontId="0" fillId="0" borderId="0" xfId="0" applyFill="1" applyBorder="1" applyAlignment="1">
      <alignment horizontal="center" vertical="top" wrapText="1"/>
    </xf>
    <xf numFmtId="166" fontId="0" fillId="6" borderId="0" xfId="0" applyNumberFormat="1" applyFill="1" applyBorder="1"/>
    <xf numFmtId="0" fontId="0" fillId="6" borderId="0" xfId="0" applyFill="1" applyBorder="1" applyAlignment="1"/>
    <xf numFmtId="170" fontId="0" fillId="6" borderId="0" xfId="0" applyNumberFormat="1" applyFill="1" applyBorder="1" applyAlignment="1"/>
    <xf numFmtId="0" fontId="0" fillId="6" borderId="110" xfId="0" applyFill="1" applyBorder="1" applyAlignment="1"/>
    <xf numFmtId="0" fontId="0" fillId="6" borderId="111" xfId="0" applyFill="1" applyBorder="1" applyAlignment="1"/>
    <xf numFmtId="166" fontId="0" fillId="6" borderId="113" xfId="0" applyNumberFormat="1" applyFill="1" applyBorder="1"/>
    <xf numFmtId="170" fontId="0" fillId="6" borderId="0" xfId="0" applyNumberFormat="1" applyFill="1" applyBorder="1"/>
    <xf numFmtId="170" fontId="0" fillId="6" borderId="113" xfId="0" applyNumberFormat="1" applyFill="1" applyBorder="1"/>
    <xf numFmtId="170" fontId="0" fillId="6" borderId="113" xfId="0" applyNumberFormat="1" applyFill="1" applyBorder="1" applyAlignment="1"/>
    <xf numFmtId="170" fontId="0" fillId="6" borderId="115" xfId="0" applyNumberFormat="1" applyFill="1" applyBorder="1" applyAlignment="1"/>
    <xf numFmtId="170" fontId="0" fillId="6" borderId="116" xfId="0" applyNumberFormat="1" applyFill="1" applyBorder="1" applyAlignment="1"/>
    <xf numFmtId="0" fontId="1" fillId="3" borderId="25" xfId="0" applyFont="1" applyFill="1" applyBorder="1" applyAlignment="1">
      <alignment horizontal="center"/>
    </xf>
    <xf numFmtId="0" fontId="0" fillId="6" borderId="117" xfId="0" applyFill="1" applyBorder="1" applyAlignment="1"/>
    <xf numFmtId="170" fontId="12" fillId="0" borderId="0" xfId="1" applyNumberFormat="1" applyFont="1" applyFill="1" applyBorder="1" applyAlignment="1">
      <alignment horizontal="center"/>
    </xf>
    <xf numFmtId="170" fontId="13" fillId="0" borderId="0" xfId="0" applyNumberFormat="1" applyFont="1" applyFill="1" applyBorder="1" applyAlignment="1">
      <alignment horizontal="left"/>
    </xf>
    <xf numFmtId="170" fontId="13" fillId="4" borderId="0" xfId="0" applyNumberFormat="1" applyFont="1" applyFill="1" applyBorder="1" applyAlignment="1">
      <alignment horizontal="left"/>
    </xf>
    <xf numFmtId="170" fontId="13" fillId="4" borderId="69" xfId="0" applyNumberFormat="1" applyFont="1" applyFill="1" applyBorder="1" applyAlignment="1">
      <alignment horizontal="left"/>
    </xf>
    <xf numFmtId="170" fontId="0" fillId="0" borderId="0" xfId="0" applyNumberFormat="1"/>
    <xf numFmtId="170" fontId="13" fillId="4" borderId="3" xfId="1" applyNumberFormat="1" applyFont="1" applyFill="1" applyBorder="1" applyAlignment="1" applyProtection="1">
      <alignment horizontal="center"/>
    </xf>
    <xf numFmtId="170" fontId="0" fillId="9" borderId="8" xfId="0" applyNumberFormat="1" applyFill="1" applyBorder="1"/>
    <xf numFmtId="170" fontId="0" fillId="9" borderId="13" xfId="0" applyNumberFormat="1" applyFill="1" applyBorder="1"/>
    <xf numFmtId="170" fontId="0" fillId="9" borderId="18" xfId="0" applyNumberFormat="1" applyFill="1" applyBorder="1"/>
    <xf numFmtId="170" fontId="11" fillId="3" borderId="4" xfId="1" applyNumberFormat="1" applyFont="1" applyFill="1" applyBorder="1" applyAlignment="1">
      <alignment horizontal="center"/>
    </xf>
    <xf numFmtId="170" fontId="0" fillId="13" borderId="9" xfId="0" applyNumberFormat="1" applyFill="1" applyBorder="1"/>
    <xf numFmtId="170" fontId="0" fillId="3" borderId="14" xfId="0" applyNumberFormat="1" applyFill="1" applyBorder="1"/>
    <xf numFmtId="170" fontId="0" fillId="3" borderId="19" xfId="0" applyNumberFormat="1" applyFill="1" applyBorder="1"/>
    <xf numFmtId="1" fontId="0" fillId="14" borderId="13" xfId="0" applyNumberFormat="1" applyFill="1" applyBorder="1"/>
    <xf numFmtId="1" fontId="13" fillId="4" borderId="64" xfId="0" applyNumberFormat="1" applyFont="1" applyFill="1" applyBorder="1" applyAlignment="1">
      <alignment horizontal="left"/>
    </xf>
    <xf numFmtId="0" fontId="30" fillId="0" borderId="0" xfId="0" applyFont="1" applyFill="1" applyBorder="1" applyAlignment="1">
      <alignment vertical="top" wrapText="1"/>
    </xf>
    <xf numFmtId="0" fontId="0" fillId="2" borderId="46" xfId="0" applyFill="1" applyBorder="1" applyAlignment="1">
      <alignment horizontal="left" vertical="top" wrapText="1"/>
    </xf>
    <xf numFmtId="0" fontId="0" fillId="2" borderId="47" xfId="0" applyFill="1" applyBorder="1" applyAlignment="1">
      <alignment horizontal="left" vertical="top" wrapText="1"/>
    </xf>
    <xf numFmtId="0" fontId="0" fillId="2" borderId="48" xfId="0" applyFill="1" applyBorder="1" applyAlignment="1">
      <alignment horizontal="left" vertical="top" wrapText="1"/>
    </xf>
    <xf numFmtId="0" fontId="0" fillId="2" borderId="49" xfId="0" applyFill="1" applyBorder="1" applyAlignment="1">
      <alignment horizontal="left" vertical="top" wrapText="1"/>
    </xf>
    <xf numFmtId="0" fontId="0" fillId="2" borderId="0" xfId="0" applyFill="1" applyBorder="1" applyAlignment="1">
      <alignment horizontal="left" vertical="top" wrapText="1"/>
    </xf>
    <xf numFmtId="0" fontId="0" fillId="2" borderId="50" xfId="0" applyFill="1" applyBorder="1" applyAlignment="1">
      <alignment horizontal="left" vertical="top" wrapText="1"/>
    </xf>
    <xf numFmtId="0" fontId="0" fillId="2" borderId="51" xfId="0" applyFill="1" applyBorder="1" applyAlignment="1">
      <alignment horizontal="left" vertical="top" wrapText="1"/>
    </xf>
    <xf numFmtId="0" fontId="0" fillId="2" borderId="52" xfId="0" applyFill="1" applyBorder="1" applyAlignment="1">
      <alignment horizontal="left" vertical="top" wrapText="1"/>
    </xf>
    <xf numFmtId="0" fontId="0" fillId="2" borderId="53" xfId="0" applyFill="1" applyBorder="1" applyAlignment="1">
      <alignment horizontal="left" vertical="top" wrapText="1"/>
    </xf>
    <xf numFmtId="0" fontId="0" fillId="2" borderId="14" xfId="0" applyFill="1" applyBorder="1" applyAlignment="1">
      <alignment horizontal="center"/>
    </xf>
    <xf numFmtId="0" fontId="1" fillId="8" borderId="14" xfId="0" applyFont="1" applyFill="1" applyBorder="1" applyAlignment="1">
      <alignment horizontal="center"/>
    </xf>
    <xf numFmtId="0" fontId="0" fillId="3" borderId="14" xfId="0" applyFill="1" applyBorder="1" applyAlignment="1">
      <alignment horizontal="center"/>
    </xf>
    <xf numFmtId="0" fontId="0" fillId="12" borderId="0" xfId="0" applyFill="1" applyAlignment="1">
      <alignment horizontal="right"/>
    </xf>
    <xf numFmtId="0" fontId="8" fillId="6" borderId="28" xfId="0" applyFont="1" applyFill="1" applyBorder="1" applyAlignment="1">
      <alignment horizontal="center" vertical="top" wrapText="1"/>
    </xf>
    <xf numFmtId="0" fontId="8" fillId="6" borderId="29" xfId="0" applyFont="1" applyFill="1" applyBorder="1" applyAlignment="1">
      <alignment horizontal="center" vertical="top" wrapText="1"/>
    </xf>
    <xf numFmtId="0" fontId="8" fillId="6" borderId="30" xfId="0" applyFont="1" applyFill="1" applyBorder="1" applyAlignment="1">
      <alignment horizontal="center" vertical="top" wrapText="1"/>
    </xf>
    <xf numFmtId="0" fontId="0" fillId="15" borderId="39" xfId="0" applyFill="1" applyBorder="1" applyAlignment="1">
      <alignment horizontal="center" vertical="top" wrapText="1"/>
    </xf>
    <xf numFmtId="0" fontId="0" fillId="15" borderId="0" xfId="0" applyFill="1" applyBorder="1" applyAlignment="1">
      <alignment horizontal="center" vertical="top" wrapText="1"/>
    </xf>
    <xf numFmtId="0" fontId="1" fillId="7" borderId="25" xfId="2" applyFont="1" applyFill="1" applyBorder="1" applyAlignment="1">
      <alignment horizontal="center"/>
    </xf>
    <xf numFmtId="0" fontId="1" fillId="7" borderId="16" xfId="2" applyFont="1" applyFill="1" applyBorder="1" applyAlignment="1">
      <alignment horizontal="center"/>
    </xf>
    <xf numFmtId="0" fontId="0" fillId="15" borderId="38" xfId="0" applyFill="1" applyBorder="1" applyAlignment="1">
      <alignment horizontal="center" vertical="top" wrapText="1"/>
    </xf>
    <xf numFmtId="0" fontId="0" fillId="15" borderId="40" xfId="0" applyFill="1" applyBorder="1" applyAlignment="1">
      <alignment horizontal="center" vertical="top" wrapText="1"/>
    </xf>
    <xf numFmtId="0" fontId="0" fillId="15" borderId="41" xfId="0" applyFill="1" applyBorder="1" applyAlignment="1">
      <alignment horizontal="center" vertical="top" wrapText="1"/>
    </xf>
    <xf numFmtId="0" fontId="0" fillId="15" borderId="42" xfId="0" applyFill="1" applyBorder="1" applyAlignment="1">
      <alignment horizontal="center" vertical="top" wrapText="1"/>
    </xf>
    <xf numFmtId="0" fontId="0" fillId="15" borderId="43" xfId="0" applyFill="1" applyBorder="1" applyAlignment="1">
      <alignment horizontal="center" vertical="top" wrapText="1"/>
    </xf>
    <xf numFmtId="0" fontId="0" fillId="15" borderId="44" xfId="0" applyFill="1" applyBorder="1" applyAlignment="1">
      <alignment horizontal="center" vertical="top" wrapText="1"/>
    </xf>
    <xf numFmtId="0" fontId="0" fillId="15" borderId="45" xfId="0" applyFill="1" applyBorder="1" applyAlignment="1">
      <alignment horizontal="center" vertical="top" wrapText="1"/>
    </xf>
    <xf numFmtId="0" fontId="0" fillId="6" borderId="54" xfId="0" applyFill="1" applyBorder="1" applyAlignment="1">
      <alignment horizontal="left" vertical="top" wrapText="1"/>
    </xf>
    <xf numFmtId="0" fontId="0" fillId="6" borderId="55" xfId="0" applyFill="1" applyBorder="1" applyAlignment="1">
      <alignment horizontal="left" vertical="top"/>
    </xf>
    <xf numFmtId="0" fontId="0" fillId="6" borderId="56" xfId="0" applyFill="1" applyBorder="1" applyAlignment="1">
      <alignment horizontal="left" vertical="top"/>
    </xf>
    <xf numFmtId="0" fontId="0" fillId="6" borderId="57" xfId="0" applyFill="1" applyBorder="1" applyAlignment="1">
      <alignment horizontal="left" vertical="top"/>
    </xf>
    <xf numFmtId="0" fontId="0" fillId="6" borderId="0" xfId="0" applyFill="1" applyBorder="1" applyAlignment="1">
      <alignment horizontal="left" vertical="top"/>
    </xf>
    <xf numFmtId="0" fontId="0" fillId="6" borderId="58" xfId="0" applyFill="1" applyBorder="1" applyAlignment="1">
      <alignment horizontal="left" vertical="top"/>
    </xf>
    <xf numFmtId="0" fontId="0" fillId="6" borderId="59" xfId="0" applyFill="1" applyBorder="1" applyAlignment="1">
      <alignment horizontal="left" vertical="top"/>
    </xf>
    <xf numFmtId="0" fontId="0" fillId="6" borderId="60" xfId="0" applyFill="1" applyBorder="1" applyAlignment="1">
      <alignment horizontal="left" vertical="top"/>
    </xf>
    <xf numFmtId="0" fontId="0" fillId="6" borderId="61" xfId="0" applyFill="1" applyBorder="1" applyAlignment="1">
      <alignment horizontal="left" vertical="top"/>
    </xf>
    <xf numFmtId="0" fontId="0" fillId="8" borderId="14" xfId="0" applyFill="1" applyBorder="1" applyAlignment="1">
      <alignment horizontal="center"/>
    </xf>
    <xf numFmtId="0" fontId="0" fillId="14" borderId="14" xfId="0" applyFill="1" applyBorder="1" applyAlignment="1">
      <alignment horizontal="center"/>
    </xf>
    <xf numFmtId="166" fontId="0" fillId="0" borderId="0" xfId="0" applyNumberFormat="1" applyAlignment="1">
      <alignment horizontal="center"/>
    </xf>
    <xf numFmtId="0" fontId="8" fillId="0" borderId="0" xfId="0" applyFont="1" applyAlignment="1">
      <alignment horizontal="center"/>
    </xf>
    <xf numFmtId="166" fontId="0" fillId="0" borderId="0" xfId="0" applyNumberFormat="1" applyFill="1" applyAlignment="1">
      <alignment horizontal="center"/>
    </xf>
    <xf numFmtId="0" fontId="1" fillId="16" borderId="25" xfId="2" applyFont="1" applyFill="1" applyBorder="1" applyAlignment="1">
      <alignment horizontal="center"/>
    </xf>
    <xf numFmtId="0" fontId="1" fillId="16" borderId="16" xfId="2" applyFont="1" applyFill="1" applyBorder="1" applyAlignment="1">
      <alignment horizontal="center"/>
    </xf>
    <xf numFmtId="0" fontId="0" fillId="5" borderId="104" xfId="0" applyFill="1" applyBorder="1" applyAlignment="1">
      <alignment horizontal="left"/>
    </xf>
    <xf numFmtId="0" fontId="0" fillId="5" borderId="0" xfId="0" applyFill="1" applyBorder="1" applyAlignment="1">
      <alignment horizontal="left"/>
    </xf>
    <xf numFmtId="0" fontId="0" fillId="5" borderId="106" xfId="0" applyFill="1" applyBorder="1" applyAlignment="1">
      <alignment horizontal="left"/>
    </xf>
    <xf numFmtId="0" fontId="0" fillId="5" borderId="107" xfId="0" applyFill="1" applyBorder="1" applyAlignment="1">
      <alignment horizontal="left"/>
    </xf>
    <xf numFmtId="0" fontId="0" fillId="5" borderId="101" xfId="0" applyFill="1" applyBorder="1" applyAlignment="1">
      <alignment horizontal="center"/>
    </xf>
    <xf numFmtId="0" fontId="0" fillId="5" borderId="102" xfId="0" applyFill="1" applyBorder="1" applyAlignment="1">
      <alignment horizontal="center"/>
    </xf>
    <xf numFmtId="0" fontId="1" fillId="6" borderId="112" xfId="0" applyFont="1" applyFill="1" applyBorder="1" applyAlignment="1">
      <alignment horizontal="center"/>
    </xf>
    <xf numFmtId="0" fontId="1" fillId="6" borderId="0" xfId="0" applyFont="1" applyFill="1" applyBorder="1" applyAlignment="1">
      <alignment horizontal="center"/>
    </xf>
    <xf numFmtId="0" fontId="1" fillId="6" borderId="114" xfId="0" applyFont="1" applyFill="1" applyBorder="1" applyAlignment="1">
      <alignment horizontal="center"/>
    </xf>
    <xf numFmtId="0" fontId="1" fillId="6" borderId="115" xfId="0" applyFont="1" applyFill="1" applyBorder="1" applyAlignment="1">
      <alignment horizontal="center"/>
    </xf>
    <xf numFmtId="0" fontId="0" fillId="3" borderId="25" xfId="0" applyFill="1" applyBorder="1" applyAlignment="1">
      <alignment horizontal="center"/>
    </xf>
    <xf numFmtId="0" fontId="1" fillId="6" borderId="109" xfId="0" applyFont="1" applyFill="1" applyBorder="1" applyAlignment="1">
      <alignment horizontal="center"/>
    </xf>
    <xf numFmtId="0" fontId="1" fillId="6" borderId="110" xfId="0" applyFont="1" applyFill="1" applyBorder="1" applyAlignment="1">
      <alignment horizontal="center"/>
    </xf>
    <xf numFmtId="0" fontId="13" fillId="6" borderId="84" xfId="1" applyFont="1" applyFill="1" applyBorder="1" applyAlignment="1">
      <alignment horizontal="left"/>
    </xf>
    <xf numFmtId="0" fontId="13" fillId="6" borderId="0" xfId="1" applyFont="1" applyFill="1" applyBorder="1" applyAlignment="1">
      <alignment horizontal="left"/>
    </xf>
    <xf numFmtId="0" fontId="13" fillId="6" borderId="85" xfId="1" applyFont="1" applyFill="1" applyBorder="1" applyAlignment="1">
      <alignment horizontal="left"/>
    </xf>
    <xf numFmtId="0" fontId="13" fillId="4" borderId="0" xfId="0" applyFont="1" applyFill="1" applyBorder="1" applyAlignment="1">
      <alignment horizontal="left"/>
    </xf>
    <xf numFmtId="0" fontId="13" fillId="4" borderId="67" xfId="0" applyFont="1" applyFill="1" applyBorder="1" applyAlignment="1">
      <alignment horizontal="left"/>
    </xf>
    <xf numFmtId="0" fontId="10" fillId="0" borderId="0" xfId="1" applyFont="1" applyAlignment="1">
      <alignment horizontal="center"/>
    </xf>
    <xf numFmtId="0" fontId="13" fillId="4" borderId="63" xfId="0" applyFont="1" applyFill="1" applyBorder="1" applyAlignment="1">
      <alignment horizontal="center" vertical="center"/>
    </xf>
    <xf numFmtId="0" fontId="13" fillId="4" borderId="64" xfId="0" applyFont="1" applyFill="1" applyBorder="1" applyAlignment="1">
      <alignment horizontal="center" vertical="center"/>
    </xf>
    <xf numFmtId="0" fontId="13" fillId="4" borderId="65" xfId="0" applyFont="1" applyFill="1" applyBorder="1" applyAlignment="1">
      <alignment horizontal="center" vertical="center"/>
    </xf>
    <xf numFmtId="0" fontId="13" fillId="4" borderId="66" xfId="0" applyFont="1" applyFill="1" applyBorder="1" applyAlignment="1">
      <alignment horizontal="center" vertical="center"/>
    </xf>
    <xf numFmtId="0" fontId="13" fillId="4" borderId="0" xfId="0" applyFont="1" applyFill="1" applyBorder="1" applyAlignment="1">
      <alignment horizontal="center" vertical="center"/>
    </xf>
    <xf numFmtId="0" fontId="13" fillId="4" borderId="67" xfId="0" applyFont="1" applyFill="1" applyBorder="1" applyAlignment="1">
      <alignment horizontal="center" vertical="center"/>
    </xf>
    <xf numFmtId="0" fontId="13" fillId="5" borderId="80" xfId="1" applyFont="1" applyFill="1" applyBorder="1" applyAlignment="1">
      <alignment horizontal="center" vertical="center"/>
    </xf>
    <xf numFmtId="0" fontId="13" fillId="5" borderId="73" xfId="1" applyFont="1" applyFill="1" applyBorder="1" applyAlignment="1">
      <alignment horizontal="center" vertical="center"/>
    </xf>
    <xf numFmtId="0" fontId="13" fillId="5" borderId="74" xfId="1" applyFont="1" applyFill="1" applyBorder="1" applyAlignment="1">
      <alignment horizontal="center" vertical="center"/>
    </xf>
    <xf numFmtId="0" fontId="13" fillId="5" borderId="75" xfId="1" applyFont="1" applyFill="1" applyBorder="1" applyAlignment="1">
      <alignment horizontal="center" vertical="center"/>
    </xf>
    <xf numFmtId="0" fontId="13" fillId="5" borderId="0" xfId="1" applyFont="1" applyFill="1" applyBorder="1" applyAlignment="1">
      <alignment horizontal="center" vertical="center"/>
    </xf>
    <xf numFmtId="0" fontId="13" fillId="5" borderId="76" xfId="1" applyFont="1" applyFill="1" applyBorder="1" applyAlignment="1">
      <alignment horizontal="center" vertical="center"/>
    </xf>
    <xf numFmtId="0" fontId="13" fillId="6" borderId="81" xfId="0" applyFont="1" applyFill="1" applyBorder="1" applyAlignment="1">
      <alignment horizontal="center" vertical="center"/>
    </xf>
    <xf numFmtId="0" fontId="13" fillId="6" borderId="82" xfId="0" applyFont="1" applyFill="1" applyBorder="1" applyAlignment="1">
      <alignment horizontal="center" vertical="center"/>
    </xf>
    <xf numFmtId="0" fontId="13" fillId="6" borderId="83" xfId="0" applyFont="1" applyFill="1" applyBorder="1" applyAlignment="1">
      <alignment horizontal="center" vertical="center"/>
    </xf>
    <xf numFmtId="0" fontId="13" fillId="6" borderId="84" xfId="0" applyFont="1" applyFill="1" applyBorder="1" applyAlignment="1">
      <alignment horizontal="center" vertical="center"/>
    </xf>
    <xf numFmtId="0" fontId="13" fillId="6" borderId="0" xfId="0" applyFont="1" applyFill="1" applyBorder="1" applyAlignment="1">
      <alignment horizontal="center" vertical="center"/>
    </xf>
    <xf numFmtId="0" fontId="13" fillId="6" borderId="85" xfId="0" applyFont="1" applyFill="1" applyBorder="1" applyAlignment="1">
      <alignment horizontal="center" vertical="center"/>
    </xf>
    <xf numFmtId="0" fontId="13" fillId="5" borderId="75" xfId="0" applyFont="1" applyFill="1" applyBorder="1" applyAlignment="1">
      <alignment horizontal="left"/>
    </xf>
    <xf numFmtId="0" fontId="13" fillId="5" borderId="0" xfId="0" applyFont="1" applyFill="1" applyBorder="1" applyAlignment="1">
      <alignment horizontal="left"/>
    </xf>
    <xf numFmtId="0" fontId="13" fillId="5" borderId="76" xfId="0" applyFont="1" applyFill="1" applyBorder="1" applyAlignment="1">
      <alignment horizontal="left"/>
    </xf>
    <xf numFmtId="0" fontId="13" fillId="4" borderId="69" xfId="0" applyFont="1" applyFill="1" applyBorder="1" applyAlignment="1">
      <alignment horizontal="left"/>
    </xf>
    <xf numFmtId="0" fontId="13" fillId="4" borderId="70" xfId="0" applyFont="1" applyFill="1" applyBorder="1" applyAlignment="1">
      <alignment horizontal="left"/>
    </xf>
    <xf numFmtId="0" fontId="0" fillId="3" borderId="0" xfId="0" applyFill="1" applyAlignment="1">
      <alignment horizontal="left" vertical="top" wrapText="1"/>
    </xf>
    <xf numFmtId="0" fontId="6" fillId="14" borderId="23" xfId="0" applyFont="1" applyFill="1" applyBorder="1" applyAlignment="1">
      <alignment horizontal="center" vertical="center" wrapText="1"/>
    </xf>
    <xf numFmtId="0" fontId="6" fillId="14" borderId="15" xfId="0" applyFont="1" applyFill="1" applyBorder="1" applyAlignment="1">
      <alignment horizontal="center" vertical="center" wrapText="1"/>
    </xf>
    <xf numFmtId="0" fontId="6" fillId="14" borderId="15" xfId="0" applyFont="1" applyFill="1" applyBorder="1" applyAlignment="1">
      <alignment horizontal="center" vertical="center"/>
    </xf>
    <xf numFmtId="0" fontId="6" fillId="14" borderId="20" xfId="0" applyFont="1" applyFill="1" applyBorder="1" applyAlignment="1">
      <alignment horizontal="center" vertical="center"/>
    </xf>
    <xf numFmtId="2" fontId="0" fillId="14" borderId="26" xfId="0" applyNumberFormat="1" applyFill="1" applyBorder="1" applyAlignment="1">
      <alignment horizontal="center" vertical="top" wrapText="1"/>
    </xf>
    <xf numFmtId="2" fontId="0" fillId="14" borderId="14" xfId="0" applyNumberFormat="1" applyFill="1" applyBorder="1" applyAlignment="1">
      <alignment horizontal="center" vertical="top" wrapText="1"/>
    </xf>
    <xf numFmtId="2" fontId="0" fillId="14" borderId="19" xfId="0" applyNumberFormat="1" applyFill="1" applyBorder="1" applyAlignment="1">
      <alignment horizontal="center" vertical="top" wrapText="1"/>
    </xf>
  </cellXfs>
  <cellStyles count="3">
    <cellStyle name="Normal" xfId="0" builtinId="0"/>
    <cellStyle name="Normal_SB_LFdata" xfId="2" xr:uid="{00000000-0005-0000-0000-000001000000}"/>
    <cellStyle name="Normal_Yield2" xfId="1" xr:uid="{00000000-0005-0000-0000-000002000000}"/>
  </cellStyles>
  <dxfs count="1">
    <dxf>
      <font>
        <color theme="5"/>
      </font>
      <fill>
        <patternFill>
          <bgColor rgb="FFFFFF00"/>
        </patternFill>
      </fill>
    </dxf>
  </dxfs>
  <tableStyles count="0" defaultTableStyle="TableStyleMedium9" defaultPivotStyle="PivotStyleLight16"/>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Age vs Length</a:t>
            </a:r>
          </a:p>
        </c:rich>
      </c:tx>
      <c:overlay val="0"/>
    </c:title>
    <c:autoTitleDeleted val="0"/>
    <c:plotArea>
      <c:layout>
        <c:manualLayout>
          <c:layoutTarget val="inner"/>
          <c:xMode val="edge"/>
          <c:yMode val="edge"/>
          <c:x val="0.10687549925824492"/>
          <c:y val="0.11419499391844312"/>
          <c:w val="0.8503242529466426"/>
          <c:h val="0.70992964016970284"/>
        </c:manualLayout>
      </c:layout>
      <c:scatterChart>
        <c:scatterStyle val="lineMarker"/>
        <c:varyColors val="0"/>
        <c:ser>
          <c:idx val="0"/>
          <c:order val="0"/>
          <c:tx>
            <c:v>Obs</c:v>
          </c:tx>
          <c:spPr>
            <a:ln w="28575">
              <a:noFill/>
            </a:ln>
          </c:spPr>
          <c:xVal>
            <c:numRef>
              <c:f>'VonBert Means'!$B$21:$B$34</c:f>
              <c:numCache>
                <c:formatCode>General</c:formatCode>
                <c:ptCount val="14"/>
                <c:pt idx="0">
                  <c:v>0</c:v>
                </c:pt>
                <c:pt idx="1">
                  <c:v>1</c:v>
                </c:pt>
                <c:pt idx="2">
                  <c:v>2</c:v>
                </c:pt>
                <c:pt idx="3">
                  <c:v>3</c:v>
                </c:pt>
                <c:pt idx="4">
                  <c:v>4</c:v>
                </c:pt>
                <c:pt idx="5">
                  <c:v>5</c:v>
                </c:pt>
                <c:pt idx="6">
                  <c:v>6</c:v>
                </c:pt>
                <c:pt idx="7">
                  <c:v>7</c:v>
                </c:pt>
                <c:pt idx="8">
                  <c:v>8</c:v>
                </c:pt>
                <c:pt idx="9">
                  <c:v>9</c:v>
                </c:pt>
                <c:pt idx="10">
                  <c:v>10</c:v>
                </c:pt>
                <c:pt idx="11">
                  <c:v>11</c:v>
                </c:pt>
                <c:pt idx="12">
                  <c:v>12</c:v>
                </c:pt>
                <c:pt idx="13">
                  <c:v>13</c:v>
                </c:pt>
              </c:numCache>
            </c:numRef>
          </c:xVal>
          <c:yVal>
            <c:numRef>
              <c:f>'VonBert Means'!$C$21:$C$34</c:f>
              <c:numCache>
                <c:formatCode>General</c:formatCode>
                <c:ptCount val="14"/>
                <c:pt idx="0">
                  <c:v>4.0999999999999996</c:v>
                </c:pt>
                <c:pt idx="1">
                  <c:v>10.6</c:v>
                </c:pt>
                <c:pt idx="2">
                  <c:v>17.600000000000001</c:v>
                </c:pt>
                <c:pt idx="3">
                  <c:v>21.5</c:v>
                </c:pt>
                <c:pt idx="4">
                  <c:v>25.4</c:v>
                </c:pt>
                <c:pt idx="5">
                  <c:v>26.7</c:v>
                </c:pt>
                <c:pt idx="6">
                  <c:v>28.2</c:v>
                </c:pt>
                <c:pt idx="7">
                  <c:v>30.1</c:v>
                </c:pt>
                <c:pt idx="8">
                  <c:v>31.8</c:v>
                </c:pt>
                <c:pt idx="9">
                  <c:v>33.4</c:v>
                </c:pt>
                <c:pt idx="10">
                  <c:v>34.6</c:v>
                </c:pt>
                <c:pt idx="11">
                  <c:v>35.5</c:v>
                </c:pt>
                <c:pt idx="12">
                  <c:v>36.299999999999997</c:v>
                </c:pt>
                <c:pt idx="13">
                  <c:v>36.700000000000003</c:v>
                </c:pt>
              </c:numCache>
            </c:numRef>
          </c:yVal>
          <c:smooth val="0"/>
          <c:extLst>
            <c:ext xmlns:c16="http://schemas.microsoft.com/office/drawing/2014/chart" uri="{C3380CC4-5D6E-409C-BE32-E72D297353CC}">
              <c16:uniqueId val="{00000000-7932-4554-90E3-94AC69931EBE}"/>
            </c:ext>
          </c:extLst>
        </c:ser>
        <c:ser>
          <c:idx val="1"/>
          <c:order val="1"/>
          <c:tx>
            <c:v>Pred</c:v>
          </c:tx>
          <c:spPr>
            <a:ln w="28575">
              <a:solidFill>
                <a:srgbClr val="C0504D"/>
              </a:solidFill>
            </a:ln>
          </c:spPr>
          <c:marker>
            <c:symbol val="none"/>
          </c:marker>
          <c:xVal>
            <c:numRef>
              <c:f>'VonBert Means'!$H$21:$H$37</c:f>
              <c:numCache>
                <c:formatCode>General</c:formatCode>
                <c:ptCount val="17"/>
                <c:pt idx="0">
                  <c:v>-0.7</c:v>
                </c:pt>
                <c:pt idx="1">
                  <c:v>-0.5</c:v>
                </c:pt>
                <c:pt idx="2">
                  <c:v>0</c:v>
                </c:pt>
                <c:pt idx="3">
                  <c:v>1</c:v>
                </c:pt>
                <c:pt idx="4">
                  <c:v>2</c:v>
                </c:pt>
                <c:pt idx="5">
                  <c:v>3</c:v>
                </c:pt>
                <c:pt idx="6">
                  <c:v>4</c:v>
                </c:pt>
                <c:pt idx="7">
                  <c:v>5</c:v>
                </c:pt>
                <c:pt idx="8">
                  <c:v>6</c:v>
                </c:pt>
                <c:pt idx="9">
                  <c:v>7</c:v>
                </c:pt>
                <c:pt idx="10">
                  <c:v>8</c:v>
                </c:pt>
                <c:pt idx="11">
                  <c:v>9</c:v>
                </c:pt>
                <c:pt idx="12">
                  <c:v>10</c:v>
                </c:pt>
                <c:pt idx="13">
                  <c:v>11</c:v>
                </c:pt>
                <c:pt idx="14">
                  <c:v>12</c:v>
                </c:pt>
                <c:pt idx="15">
                  <c:v>13</c:v>
                </c:pt>
                <c:pt idx="16">
                  <c:v>14</c:v>
                </c:pt>
              </c:numCache>
            </c:numRef>
          </c:xVal>
          <c:yVal>
            <c:numRef>
              <c:f>'VonBert Means'!$I$21:$I$37</c:f>
              <c:numCache>
                <c:formatCode>General</c:formatCode>
                <c:ptCount val="17"/>
                <c:pt idx="0">
                  <c:v>-1.2495807361933784</c:v>
                </c:pt>
                <c:pt idx="1">
                  <c:v>0.46797345062080714</c:v>
                </c:pt>
                <c:pt idx="2">
                  <c:v>4.4409762788491642</c:v>
                </c:pt>
                <c:pt idx="3">
                  <c:v>11.172865401791277</c:v>
                </c:pt>
                <c:pt idx="4">
                  <c:v>16.558295296584355</c:v>
                </c:pt>
                <c:pt idx="5">
                  <c:v>20.866574090554675</c:v>
                </c:pt>
                <c:pt idx="6">
                  <c:v>24.313145029027091</c:v>
                </c:pt>
                <c:pt idx="7">
                  <c:v>27.070360103071909</c:v>
                </c:pt>
                <c:pt idx="8">
                  <c:v>29.276098821425247</c:v>
                </c:pt>
                <c:pt idx="9">
                  <c:v>31.040663123805064</c:v>
                </c:pt>
                <c:pt idx="10">
                  <c:v>32.452293228189163</c:v>
                </c:pt>
                <c:pt idx="11">
                  <c:v>33.581580241938653</c:v>
                </c:pt>
                <c:pt idx="12">
                  <c:v>34.484996197338432</c:v>
                </c:pt>
                <c:pt idx="13">
                  <c:v>35.207718037343533</c:v>
                </c:pt>
                <c:pt idx="14">
                  <c:v>35.785886770027929</c:v>
                </c:pt>
                <c:pt idx="15">
                  <c:v>36.24841476482537</c:v>
                </c:pt>
                <c:pt idx="16">
                  <c:v>36.618431567667812</c:v>
                </c:pt>
              </c:numCache>
            </c:numRef>
          </c:yVal>
          <c:smooth val="0"/>
          <c:extLst>
            <c:ext xmlns:c16="http://schemas.microsoft.com/office/drawing/2014/chart" uri="{C3380CC4-5D6E-409C-BE32-E72D297353CC}">
              <c16:uniqueId val="{00000001-7932-4554-90E3-94AC69931EBE}"/>
            </c:ext>
          </c:extLst>
        </c:ser>
        <c:dLbls>
          <c:showLegendKey val="0"/>
          <c:showVal val="0"/>
          <c:showCatName val="0"/>
          <c:showSerName val="0"/>
          <c:showPercent val="0"/>
          <c:showBubbleSize val="0"/>
        </c:dLbls>
        <c:axId val="135521024"/>
        <c:axId val="135522944"/>
      </c:scatterChart>
      <c:valAx>
        <c:axId val="135521024"/>
        <c:scaling>
          <c:orientation val="minMax"/>
          <c:min val="-1"/>
        </c:scaling>
        <c:delete val="0"/>
        <c:axPos val="b"/>
        <c:title>
          <c:tx>
            <c:rich>
              <a:bodyPr/>
              <a:lstStyle/>
              <a:p>
                <a:pPr>
                  <a:defRPr sz="1100"/>
                </a:pPr>
                <a:r>
                  <a:rPr lang="en-US" sz="1100"/>
                  <a:t>Age (years)</a:t>
                </a:r>
              </a:p>
            </c:rich>
          </c:tx>
          <c:overlay val="0"/>
        </c:title>
        <c:numFmt formatCode="General" sourceLinked="1"/>
        <c:majorTickMark val="out"/>
        <c:minorTickMark val="none"/>
        <c:tickLblPos val="nextTo"/>
        <c:crossAx val="135522944"/>
        <c:crossesAt val="-0.1"/>
        <c:crossBetween val="midCat"/>
      </c:valAx>
      <c:valAx>
        <c:axId val="135522944"/>
        <c:scaling>
          <c:orientation val="minMax"/>
          <c:min val="0"/>
        </c:scaling>
        <c:delete val="0"/>
        <c:axPos val="l"/>
        <c:title>
          <c:tx>
            <c:rich>
              <a:bodyPr rot="-5400000" vert="horz"/>
              <a:lstStyle/>
              <a:p>
                <a:pPr>
                  <a:defRPr sz="1100"/>
                </a:pPr>
                <a:r>
                  <a:rPr lang="en-US" sz="1100"/>
                  <a:t>Length (cm)</a:t>
                </a:r>
              </a:p>
            </c:rich>
          </c:tx>
          <c:overlay val="0"/>
        </c:title>
        <c:numFmt formatCode="General" sourceLinked="1"/>
        <c:majorTickMark val="out"/>
        <c:minorTickMark val="none"/>
        <c:tickLblPos val="nextTo"/>
        <c:crossAx val="135521024"/>
        <c:crossesAt val="-1"/>
        <c:crossBetween val="midCat"/>
      </c:valAx>
    </c:plotArea>
    <c:legend>
      <c:legendPos val="r"/>
      <c:layout>
        <c:manualLayout>
          <c:xMode val="edge"/>
          <c:yMode val="edge"/>
          <c:x val="0.83725664726691751"/>
          <c:y val="0.68118604908311076"/>
          <c:w val="0.11926509186351725"/>
          <c:h val="0.118479366983304"/>
        </c:manualLayout>
      </c:layout>
      <c:overlay val="0"/>
    </c:legend>
    <c:plotVisOnly val="1"/>
    <c:dispBlanksAs val="gap"/>
    <c:showDLblsOverMax val="0"/>
  </c:chart>
  <c:printSettings>
    <c:headerFooter/>
    <c:pageMargins b="0.75000000000000133" l="0.70000000000000062" r="0.70000000000000062" t="0.75000000000000133"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Age vs Length</a:t>
            </a:r>
          </a:p>
        </c:rich>
      </c:tx>
      <c:overlay val="0"/>
    </c:title>
    <c:autoTitleDeleted val="0"/>
    <c:plotArea>
      <c:layout>
        <c:manualLayout>
          <c:layoutTarget val="inner"/>
          <c:xMode val="edge"/>
          <c:yMode val="edge"/>
          <c:x val="0.10687549925824492"/>
          <c:y val="0.11419499391844312"/>
          <c:w val="0.8503242529466426"/>
          <c:h val="0.70992964016970306"/>
        </c:manualLayout>
      </c:layout>
      <c:scatterChart>
        <c:scatterStyle val="lineMarker"/>
        <c:varyColors val="0"/>
        <c:ser>
          <c:idx val="0"/>
          <c:order val="0"/>
          <c:tx>
            <c:v>Obs</c:v>
          </c:tx>
          <c:spPr>
            <a:ln w="28575">
              <a:noFill/>
            </a:ln>
          </c:spPr>
          <c:xVal>
            <c:numRef>
              <c:f>'VonBert Raw Data'!$B$21:$B$99</c:f>
              <c:numCache>
                <c:formatCode>General</c:formatCode>
                <c:ptCount val="79"/>
                <c:pt idx="0">
                  <c:v>22</c:v>
                </c:pt>
                <c:pt idx="1">
                  <c:v>17</c:v>
                </c:pt>
                <c:pt idx="2">
                  <c:v>17</c:v>
                </c:pt>
                <c:pt idx="3">
                  <c:v>16</c:v>
                </c:pt>
                <c:pt idx="4">
                  <c:v>15</c:v>
                </c:pt>
                <c:pt idx="5">
                  <c:v>14</c:v>
                </c:pt>
                <c:pt idx="6">
                  <c:v>14</c:v>
                </c:pt>
                <c:pt idx="7">
                  <c:v>13</c:v>
                </c:pt>
                <c:pt idx="8">
                  <c:v>13</c:v>
                </c:pt>
                <c:pt idx="9">
                  <c:v>13</c:v>
                </c:pt>
                <c:pt idx="10">
                  <c:v>13</c:v>
                </c:pt>
                <c:pt idx="11">
                  <c:v>12</c:v>
                </c:pt>
                <c:pt idx="12">
                  <c:v>12</c:v>
                </c:pt>
                <c:pt idx="13">
                  <c:v>12</c:v>
                </c:pt>
                <c:pt idx="14">
                  <c:v>12</c:v>
                </c:pt>
                <c:pt idx="15">
                  <c:v>12</c:v>
                </c:pt>
                <c:pt idx="16">
                  <c:v>11</c:v>
                </c:pt>
                <c:pt idx="17">
                  <c:v>11</c:v>
                </c:pt>
                <c:pt idx="18">
                  <c:v>11</c:v>
                </c:pt>
                <c:pt idx="19">
                  <c:v>11</c:v>
                </c:pt>
                <c:pt idx="20">
                  <c:v>11</c:v>
                </c:pt>
                <c:pt idx="21">
                  <c:v>11</c:v>
                </c:pt>
                <c:pt idx="22">
                  <c:v>11</c:v>
                </c:pt>
                <c:pt idx="23">
                  <c:v>11</c:v>
                </c:pt>
                <c:pt idx="24">
                  <c:v>11</c:v>
                </c:pt>
                <c:pt idx="25">
                  <c:v>10</c:v>
                </c:pt>
                <c:pt idx="26">
                  <c:v>10</c:v>
                </c:pt>
                <c:pt idx="27">
                  <c:v>10</c:v>
                </c:pt>
                <c:pt idx="28">
                  <c:v>10</c:v>
                </c:pt>
                <c:pt idx="29">
                  <c:v>10</c:v>
                </c:pt>
                <c:pt idx="30">
                  <c:v>10</c:v>
                </c:pt>
                <c:pt idx="31">
                  <c:v>10</c:v>
                </c:pt>
                <c:pt idx="32">
                  <c:v>9</c:v>
                </c:pt>
                <c:pt idx="33">
                  <c:v>9</c:v>
                </c:pt>
                <c:pt idx="34">
                  <c:v>9</c:v>
                </c:pt>
                <c:pt idx="35">
                  <c:v>9</c:v>
                </c:pt>
                <c:pt idx="36">
                  <c:v>9</c:v>
                </c:pt>
                <c:pt idx="37">
                  <c:v>9</c:v>
                </c:pt>
                <c:pt idx="38">
                  <c:v>9</c:v>
                </c:pt>
                <c:pt idx="39">
                  <c:v>9</c:v>
                </c:pt>
                <c:pt idx="40">
                  <c:v>8</c:v>
                </c:pt>
                <c:pt idx="41">
                  <c:v>8</c:v>
                </c:pt>
                <c:pt idx="42">
                  <c:v>8</c:v>
                </c:pt>
                <c:pt idx="43">
                  <c:v>8</c:v>
                </c:pt>
                <c:pt idx="44">
                  <c:v>8</c:v>
                </c:pt>
                <c:pt idx="45">
                  <c:v>8</c:v>
                </c:pt>
                <c:pt idx="46">
                  <c:v>8</c:v>
                </c:pt>
                <c:pt idx="47">
                  <c:v>8</c:v>
                </c:pt>
                <c:pt idx="48">
                  <c:v>8</c:v>
                </c:pt>
                <c:pt idx="49">
                  <c:v>8</c:v>
                </c:pt>
                <c:pt idx="50">
                  <c:v>7</c:v>
                </c:pt>
                <c:pt idx="51">
                  <c:v>7</c:v>
                </c:pt>
                <c:pt idx="52">
                  <c:v>7</c:v>
                </c:pt>
                <c:pt idx="53">
                  <c:v>7</c:v>
                </c:pt>
                <c:pt idx="54">
                  <c:v>7</c:v>
                </c:pt>
                <c:pt idx="55">
                  <c:v>7</c:v>
                </c:pt>
                <c:pt idx="56">
                  <c:v>7</c:v>
                </c:pt>
                <c:pt idx="57">
                  <c:v>6</c:v>
                </c:pt>
                <c:pt idx="58">
                  <c:v>6</c:v>
                </c:pt>
                <c:pt idx="59">
                  <c:v>6</c:v>
                </c:pt>
                <c:pt idx="60">
                  <c:v>6</c:v>
                </c:pt>
                <c:pt idx="61">
                  <c:v>6</c:v>
                </c:pt>
                <c:pt idx="62">
                  <c:v>6</c:v>
                </c:pt>
                <c:pt idx="63">
                  <c:v>6</c:v>
                </c:pt>
                <c:pt idx="64">
                  <c:v>6</c:v>
                </c:pt>
                <c:pt idx="65">
                  <c:v>6</c:v>
                </c:pt>
                <c:pt idx="66">
                  <c:v>5</c:v>
                </c:pt>
                <c:pt idx="67">
                  <c:v>5</c:v>
                </c:pt>
                <c:pt idx="68">
                  <c:v>5</c:v>
                </c:pt>
                <c:pt idx="69">
                  <c:v>5</c:v>
                </c:pt>
                <c:pt idx="70">
                  <c:v>5</c:v>
                </c:pt>
                <c:pt idx="71">
                  <c:v>5</c:v>
                </c:pt>
                <c:pt idx="72">
                  <c:v>5</c:v>
                </c:pt>
                <c:pt idx="73">
                  <c:v>5</c:v>
                </c:pt>
                <c:pt idx="74">
                  <c:v>4</c:v>
                </c:pt>
                <c:pt idx="75">
                  <c:v>4</c:v>
                </c:pt>
                <c:pt idx="76">
                  <c:v>4</c:v>
                </c:pt>
                <c:pt idx="77">
                  <c:v>4</c:v>
                </c:pt>
                <c:pt idx="78">
                  <c:v>3</c:v>
                </c:pt>
              </c:numCache>
            </c:numRef>
          </c:xVal>
          <c:yVal>
            <c:numRef>
              <c:f>'VonBert Raw Data'!$C$21:$C$99</c:f>
              <c:numCache>
                <c:formatCode>General</c:formatCode>
                <c:ptCount val="79"/>
                <c:pt idx="0">
                  <c:v>44</c:v>
                </c:pt>
                <c:pt idx="1">
                  <c:v>47</c:v>
                </c:pt>
                <c:pt idx="2">
                  <c:v>52</c:v>
                </c:pt>
                <c:pt idx="3">
                  <c:v>31</c:v>
                </c:pt>
                <c:pt idx="4">
                  <c:v>34</c:v>
                </c:pt>
                <c:pt idx="5">
                  <c:v>30</c:v>
                </c:pt>
                <c:pt idx="6">
                  <c:v>38</c:v>
                </c:pt>
                <c:pt idx="7">
                  <c:v>41</c:v>
                </c:pt>
                <c:pt idx="8">
                  <c:v>42</c:v>
                </c:pt>
                <c:pt idx="9">
                  <c:v>43</c:v>
                </c:pt>
                <c:pt idx="10">
                  <c:v>44</c:v>
                </c:pt>
                <c:pt idx="11">
                  <c:v>29</c:v>
                </c:pt>
                <c:pt idx="12">
                  <c:v>30</c:v>
                </c:pt>
                <c:pt idx="13">
                  <c:v>34</c:v>
                </c:pt>
                <c:pt idx="14">
                  <c:v>36</c:v>
                </c:pt>
                <c:pt idx="15">
                  <c:v>38</c:v>
                </c:pt>
                <c:pt idx="16">
                  <c:v>26</c:v>
                </c:pt>
                <c:pt idx="17">
                  <c:v>29</c:v>
                </c:pt>
                <c:pt idx="18">
                  <c:v>33</c:v>
                </c:pt>
                <c:pt idx="19">
                  <c:v>34</c:v>
                </c:pt>
                <c:pt idx="20">
                  <c:v>35</c:v>
                </c:pt>
                <c:pt idx="21">
                  <c:v>36</c:v>
                </c:pt>
                <c:pt idx="22">
                  <c:v>36</c:v>
                </c:pt>
                <c:pt idx="23">
                  <c:v>38</c:v>
                </c:pt>
                <c:pt idx="24">
                  <c:v>39</c:v>
                </c:pt>
                <c:pt idx="25">
                  <c:v>24</c:v>
                </c:pt>
                <c:pt idx="26">
                  <c:v>26</c:v>
                </c:pt>
                <c:pt idx="27">
                  <c:v>29</c:v>
                </c:pt>
                <c:pt idx="28">
                  <c:v>31</c:v>
                </c:pt>
                <c:pt idx="29">
                  <c:v>34</c:v>
                </c:pt>
                <c:pt idx="30">
                  <c:v>36</c:v>
                </c:pt>
                <c:pt idx="31">
                  <c:v>39</c:v>
                </c:pt>
                <c:pt idx="32">
                  <c:v>22</c:v>
                </c:pt>
                <c:pt idx="33">
                  <c:v>30</c:v>
                </c:pt>
                <c:pt idx="34">
                  <c:v>31</c:v>
                </c:pt>
                <c:pt idx="35">
                  <c:v>32</c:v>
                </c:pt>
                <c:pt idx="36">
                  <c:v>33</c:v>
                </c:pt>
                <c:pt idx="37">
                  <c:v>34</c:v>
                </c:pt>
                <c:pt idx="38">
                  <c:v>35</c:v>
                </c:pt>
                <c:pt idx="39">
                  <c:v>36</c:v>
                </c:pt>
                <c:pt idx="40">
                  <c:v>23</c:v>
                </c:pt>
                <c:pt idx="41">
                  <c:v>24</c:v>
                </c:pt>
                <c:pt idx="42">
                  <c:v>26</c:v>
                </c:pt>
                <c:pt idx="43">
                  <c:v>28</c:v>
                </c:pt>
                <c:pt idx="44">
                  <c:v>28</c:v>
                </c:pt>
                <c:pt idx="45">
                  <c:v>29</c:v>
                </c:pt>
                <c:pt idx="46">
                  <c:v>30</c:v>
                </c:pt>
                <c:pt idx="47">
                  <c:v>31</c:v>
                </c:pt>
                <c:pt idx="48">
                  <c:v>32</c:v>
                </c:pt>
                <c:pt idx="49">
                  <c:v>34</c:v>
                </c:pt>
                <c:pt idx="50">
                  <c:v>19</c:v>
                </c:pt>
                <c:pt idx="51">
                  <c:v>20</c:v>
                </c:pt>
                <c:pt idx="52">
                  <c:v>21</c:v>
                </c:pt>
                <c:pt idx="53">
                  <c:v>25</c:v>
                </c:pt>
                <c:pt idx="54">
                  <c:v>28</c:v>
                </c:pt>
                <c:pt idx="55">
                  <c:v>29</c:v>
                </c:pt>
                <c:pt idx="56">
                  <c:v>30</c:v>
                </c:pt>
                <c:pt idx="57">
                  <c:v>18</c:v>
                </c:pt>
                <c:pt idx="58">
                  <c:v>19</c:v>
                </c:pt>
                <c:pt idx="59">
                  <c:v>21</c:v>
                </c:pt>
                <c:pt idx="60">
                  <c:v>22</c:v>
                </c:pt>
                <c:pt idx="61">
                  <c:v>24</c:v>
                </c:pt>
                <c:pt idx="62">
                  <c:v>25</c:v>
                </c:pt>
                <c:pt idx="63">
                  <c:v>26</c:v>
                </c:pt>
                <c:pt idx="64">
                  <c:v>28</c:v>
                </c:pt>
                <c:pt idx="65">
                  <c:v>29</c:v>
                </c:pt>
                <c:pt idx="66">
                  <c:v>19</c:v>
                </c:pt>
                <c:pt idx="67">
                  <c:v>20</c:v>
                </c:pt>
                <c:pt idx="68">
                  <c:v>21</c:v>
                </c:pt>
                <c:pt idx="69">
                  <c:v>22</c:v>
                </c:pt>
                <c:pt idx="70">
                  <c:v>23</c:v>
                </c:pt>
                <c:pt idx="71">
                  <c:v>24</c:v>
                </c:pt>
                <c:pt idx="72">
                  <c:v>25</c:v>
                </c:pt>
                <c:pt idx="73">
                  <c:v>26</c:v>
                </c:pt>
                <c:pt idx="74">
                  <c:v>18</c:v>
                </c:pt>
                <c:pt idx="75">
                  <c:v>19</c:v>
                </c:pt>
                <c:pt idx="76">
                  <c:v>21</c:v>
                </c:pt>
                <c:pt idx="77">
                  <c:v>21</c:v>
                </c:pt>
                <c:pt idx="78">
                  <c:v>19</c:v>
                </c:pt>
              </c:numCache>
            </c:numRef>
          </c:yVal>
          <c:smooth val="0"/>
          <c:extLst>
            <c:ext xmlns:c16="http://schemas.microsoft.com/office/drawing/2014/chart" uri="{C3380CC4-5D6E-409C-BE32-E72D297353CC}">
              <c16:uniqueId val="{00000000-C05D-4676-9F7E-9937EB3C9E81}"/>
            </c:ext>
          </c:extLst>
        </c:ser>
        <c:ser>
          <c:idx val="1"/>
          <c:order val="1"/>
          <c:tx>
            <c:v>Pred</c:v>
          </c:tx>
          <c:spPr>
            <a:ln w="28575">
              <a:solidFill>
                <a:srgbClr val="C0504D"/>
              </a:solidFill>
            </a:ln>
          </c:spPr>
          <c:marker>
            <c:symbol val="none"/>
          </c:marker>
          <c:xVal>
            <c:numRef>
              <c:f>'VonBert Raw Data'!$H$21:$H$74</c:f>
              <c:numCache>
                <c:formatCode>General</c:formatCode>
                <c:ptCount val="54"/>
                <c:pt idx="0">
                  <c:v>-3.5</c:v>
                </c:pt>
                <c:pt idx="1">
                  <c:v>-0.5</c:v>
                </c:pt>
                <c:pt idx="2">
                  <c:v>0</c:v>
                </c:pt>
                <c:pt idx="3">
                  <c:v>1</c:v>
                </c:pt>
                <c:pt idx="4">
                  <c:v>2</c:v>
                </c:pt>
                <c:pt idx="5">
                  <c:v>3</c:v>
                </c:pt>
                <c:pt idx="6">
                  <c:v>4</c:v>
                </c:pt>
                <c:pt idx="7">
                  <c:v>5</c:v>
                </c:pt>
                <c:pt idx="8">
                  <c:v>6</c:v>
                </c:pt>
                <c:pt idx="9">
                  <c:v>7</c:v>
                </c:pt>
                <c:pt idx="10">
                  <c:v>8</c:v>
                </c:pt>
                <c:pt idx="11">
                  <c:v>9</c:v>
                </c:pt>
                <c:pt idx="12">
                  <c:v>10</c:v>
                </c:pt>
                <c:pt idx="13">
                  <c:v>11</c:v>
                </c:pt>
                <c:pt idx="14">
                  <c:v>12</c:v>
                </c:pt>
                <c:pt idx="15">
                  <c:v>13</c:v>
                </c:pt>
                <c:pt idx="16">
                  <c:v>14</c:v>
                </c:pt>
                <c:pt idx="17">
                  <c:v>15</c:v>
                </c:pt>
                <c:pt idx="18">
                  <c:v>16</c:v>
                </c:pt>
                <c:pt idx="19">
                  <c:v>17</c:v>
                </c:pt>
                <c:pt idx="20">
                  <c:v>18</c:v>
                </c:pt>
                <c:pt idx="21">
                  <c:v>19</c:v>
                </c:pt>
                <c:pt idx="22">
                  <c:v>20</c:v>
                </c:pt>
                <c:pt idx="23">
                  <c:v>21</c:v>
                </c:pt>
                <c:pt idx="24">
                  <c:v>22</c:v>
                </c:pt>
                <c:pt idx="25">
                  <c:v>23</c:v>
                </c:pt>
                <c:pt idx="26">
                  <c:v>24</c:v>
                </c:pt>
                <c:pt idx="27">
                  <c:v>25</c:v>
                </c:pt>
                <c:pt idx="28">
                  <c:v>26</c:v>
                </c:pt>
                <c:pt idx="29">
                  <c:v>27</c:v>
                </c:pt>
                <c:pt idx="30">
                  <c:v>28</c:v>
                </c:pt>
                <c:pt idx="31">
                  <c:v>29</c:v>
                </c:pt>
                <c:pt idx="32">
                  <c:v>30</c:v>
                </c:pt>
              </c:numCache>
            </c:numRef>
          </c:xVal>
          <c:yVal>
            <c:numRef>
              <c:f>'VonBert Raw Data'!$I$21:$I$74</c:f>
              <c:numCache>
                <c:formatCode>0.00</c:formatCode>
                <c:ptCount val="54"/>
                <c:pt idx="0">
                  <c:v>-3.6460229080770414</c:v>
                </c:pt>
                <c:pt idx="1">
                  <c:v>6.8407838778527426</c:v>
                </c:pt>
                <c:pt idx="2">
                  <c:v>8.4185065004456181</c:v>
                </c:pt>
                <c:pt idx="3">
                  <c:v>11.440390630330999</c:v>
                </c:pt>
                <c:pt idx="4">
                  <c:v>14.292548485282733</c:v>
                </c:pt>
                <c:pt idx="5">
                  <c:v>16.984512862444809</c:v>
                </c:pt>
                <c:pt idx="6">
                  <c:v>19.52528114261851</c:v>
                </c:pt>
                <c:pt idx="7">
                  <c:v>21.923345362302697</c:v>
                </c:pt>
                <c:pt idx="8">
                  <c:v>24.186720596716587</c:v>
                </c:pt>
                <c:pt idx="9">
                  <c:v>26.322971748669808</c:v>
                </c:pt>
                <c:pt idx="10">
                  <c:v>28.339238832816477</c:v>
                </c:pt>
                <c:pt idx="11">
                  <c:v>30.242260839801123</c:v>
                </c:pt>
                <c:pt idx="12">
                  <c:v>32.038398260057917</c:v>
                </c:pt>
                <c:pt idx="13">
                  <c:v>33.73365434254459</c:v>
                </c:pt>
                <c:pt idx="14">
                  <c:v>35.333695159464483</c:v>
                </c:pt>
                <c:pt idx="15">
                  <c:v>36.843868544039161</c:v>
                </c:pt>
                <c:pt idx="16">
                  <c:v>38.269221964627469</c:v>
                </c:pt>
                <c:pt idx="17">
                  <c:v>39.614519394932152</c:v>
                </c:pt>
                <c:pt idx="18">
                  <c:v>40.884257236679048</c:v>
                </c:pt>
                <c:pt idx="19">
                  <c:v>42.082679347987877</c:v>
                </c:pt>
                <c:pt idx="20">
                  <c:v>43.213791227663741</c:v>
                </c:pt>
                <c:pt idx="21">
                  <c:v>44.281373402817849</c:v>
                </c:pt>
                <c:pt idx="22">
                  <c:v>45.288994064562992</c:v>
                </c:pt>
                <c:pt idx="23">
                  <c:v>46.240020994016135</c:v>
                </c:pt>
                <c:pt idx="24">
                  <c:v>47.137632818468617</c:v>
                </c:pt>
                <c:pt idx="25">
                  <c:v>47.984829635345513</c:v>
                </c:pt>
                <c:pt idx="26">
                  <c:v>48.784443039462758</c:v>
                </c:pt>
                <c:pt idx="27">
                  <c:v>49.539145587096243</c:v>
                </c:pt>
                <c:pt idx="28">
                  <c:v>50.251459728494702</c:v>
                </c:pt>
                <c:pt idx="29">
                  <c:v>50.92376623869167</c:v>
                </c:pt>
                <c:pt idx="30">
                  <c:v>51.558312174794835</c:v>
                </c:pt>
                <c:pt idx="31">
                  <c:v>52.157218386348688</c:v>
                </c:pt>
                <c:pt idx="32">
                  <c:v>52.722486603872142</c:v>
                </c:pt>
              </c:numCache>
            </c:numRef>
          </c:yVal>
          <c:smooth val="0"/>
          <c:extLst>
            <c:ext xmlns:c16="http://schemas.microsoft.com/office/drawing/2014/chart" uri="{C3380CC4-5D6E-409C-BE32-E72D297353CC}">
              <c16:uniqueId val="{00000001-C05D-4676-9F7E-9937EB3C9E81}"/>
            </c:ext>
          </c:extLst>
        </c:ser>
        <c:dLbls>
          <c:showLegendKey val="0"/>
          <c:showVal val="0"/>
          <c:showCatName val="0"/>
          <c:showSerName val="0"/>
          <c:showPercent val="0"/>
          <c:showBubbleSize val="0"/>
        </c:dLbls>
        <c:axId val="135950720"/>
        <c:axId val="135952640"/>
      </c:scatterChart>
      <c:valAx>
        <c:axId val="135950720"/>
        <c:scaling>
          <c:orientation val="minMax"/>
          <c:min val="-3"/>
        </c:scaling>
        <c:delete val="0"/>
        <c:axPos val="b"/>
        <c:title>
          <c:tx>
            <c:rich>
              <a:bodyPr/>
              <a:lstStyle/>
              <a:p>
                <a:pPr>
                  <a:defRPr sz="1100"/>
                </a:pPr>
                <a:r>
                  <a:rPr lang="en-US" sz="1100"/>
                  <a:t>Age (years)</a:t>
                </a:r>
              </a:p>
            </c:rich>
          </c:tx>
          <c:overlay val="0"/>
        </c:title>
        <c:numFmt formatCode="General" sourceLinked="1"/>
        <c:majorTickMark val="out"/>
        <c:minorTickMark val="none"/>
        <c:tickLblPos val="nextTo"/>
        <c:crossAx val="135952640"/>
        <c:crosses val="autoZero"/>
        <c:crossBetween val="midCat"/>
        <c:majorUnit val="5"/>
      </c:valAx>
      <c:valAx>
        <c:axId val="135952640"/>
        <c:scaling>
          <c:orientation val="minMax"/>
          <c:min val="0"/>
        </c:scaling>
        <c:delete val="0"/>
        <c:axPos val="l"/>
        <c:title>
          <c:tx>
            <c:rich>
              <a:bodyPr rot="-5400000" vert="horz"/>
              <a:lstStyle/>
              <a:p>
                <a:pPr>
                  <a:defRPr sz="1100"/>
                </a:pPr>
                <a:r>
                  <a:rPr lang="en-US" sz="1100"/>
                  <a:t>Length (cm)</a:t>
                </a:r>
              </a:p>
            </c:rich>
          </c:tx>
          <c:overlay val="0"/>
        </c:title>
        <c:numFmt formatCode="General" sourceLinked="1"/>
        <c:majorTickMark val="out"/>
        <c:minorTickMark val="none"/>
        <c:tickLblPos val="nextTo"/>
        <c:crossAx val="135950720"/>
        <c:crosses val="autoZero"/>
        <c:crossBetween val="midCat"/>
      </c:valAx>
    </c:plotArea>
    <c:legend>
      <c:legendPos val="r"/>
      <c:layout>
        <c:manualLayout>
          <c:xMode val="edge"/>
          <c:yMode val="edge"/>
          <c:x val="0.8248342870184715"/>
          <c:y val="0.67529946173946864"/>
          <c:w val="0.1192650918635173"/>
          <c:h val="0.118479366983304"/>
        </c:manualLayout>
      </c:layout>
      <c:overlay val="0"/>
    </c:legend>
    <c:plotVisOnly val="1"/>
    <c:dispBlanksAs val="gap"/>
    <c:showDLblsOverMax val="0"/>
  </c:chart>
  <c:printSettings>
    <c:headerFooter/>
    <c:pageMargins b="0.75000000000000155" l="0.70000000000000062" r="0.70000000000000062" t="0.7500000000000015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Length vs Weight</a:t>
            </a:r>
          </a:p>
        </c:rich>
      </c:tx>
      <c:overlay val="0"/>
    </c:title>
    <c:autoTitleDeleted val="0"/>
    <c:plotArea>
      <c:layout>
        <c:manualLayout>
          <c:layoutTarget val="inner"/>
          <c:xMode val="edge"/>
          <c:yMode val="edge"/>
          <c:x val="0.13374084818345092"/>
          <c:y val="0.14803011101184921"/>
          <c:w val="0.80497081779251345"/>
          <c:h val="0.65879181988794999"/>
        </c:manualLayout>
      </c:layout>
      <c:scatterChart>
        <c:scatterStyle val="lineMarker"/>
        <c:varyColors val="0"/>
        <c:ser>
          <c:idx val="0"/>
          <c:order val="0"/>
          <c:tx>
            <c:v>Obs</c:v>
          </c:tx>
          <c:spPr>
            <a:ln w="28575">
              <a:noFill/>
            </a:ln>
          </c:spPr>
          <c:xVal>
            <c:numRef>
              <c:f>Length_Weight!$B$21:$B$34</c:f>
              <c:numCache>
                <c:formatCode>General</c:formatCode>
                <c:ptCount val="14"/>
                <c:pt idx="0">
                  <c:v>4.0999999999999996</c:v>
                </c:pt>
                <c:pt idx="1">
                  <c:v>10.6</c:v>
                </c:pt>
                <c:pt idx="2">
                  <c:v>17.600000000000001</c:v>
                </c:pt>
                <c:pt idx="3">
                  <c:v>21.5</c:v>
                </c:pt>
                <c:pt idx="4">
                  <c:v>25.4</c:v>
                </c:pt>
                <c:pt idx="5">
                  <c:v>26.7</c:v>
                </c:pt>
                <c:pt idx="6">
                  <c:v>28.2</c:v>
                </c:pt>
                <c:pt idx="7">
                  <c:v>30.1</c:v>
                </c:pt>
                <c:pt idx="8">
                  <c:v>31.8</c:v>
                </c:pt>
                <c:pt idx="9">
                  <c:v>33.4</c:v>
                </c:pt>
                <c:pt idx="10">
                  <c:v>34.6</c:v>
                </c:pt>
                <c:pt idx="11">
                  <c:v>35.5</c:v>
                </c:pt>
                <c:pt idx="12">
                  <c:v>36.299999999999997</c:v>
                </c:pt>
                <c:pt idx="13">
                  <c:v>36.700000000000003</c:v>
                </c:pt>
              </c:numCache>
            </c:numRef>
          </c:xVal>
          <c:yVal>
            <c:numRef>
              <c:f>Length_Weight!$C$21:$C$34</c:f>
              <c:numCache>
                <c:formatCode>General</c:formatCode>
                <c:ptCount val="14"/>
                <c:pt idx="0">
                  <c:v>46.8</c:v>
                </c:pt>
                <c:pt idx="1">
                  <c:v>60.2</c:v>
                </c:pt>
                <c:pt idx="2">
                  <c:v>183.7</c:v>
                </c:pt>
                <c:pt idx="3">
                  <c:v>278.7</c:v>
                </c:pt>
                <c:pt idx="4">
                  <c:v>368.7</c:v>
                </c:pt>
                <c:pt idx="5">
                  <c:v>425.9</c:v>
                </c:pt>
                <c:pt idx="6">
                  <c:v>490.3</c:v>
                </c:pt>
                <c:pt idx="7">
                  <c:v>589.9</c:v>
                </c:pt>
                <c:pt idx="8">
                  <c:v>683.2</c:v>
                </c:pt>
                <c:pt idx="9">
                  <c:v>780.8</c:v>
                </c:pt>
                <c:pt idx="10">
                  <c:v>861.5</c:v>
                </c:pt>
                <c:pt idx="11">
                  <c:v>920.9</c:v>
                </c:pt>
                <c:pt idx="12">
                  <c:v>980.7</c:v>
                </c:pt>
                <c:pt idx="13">
                  <c:v>1005.8</c:v>
                </c:pt>
              </c:numCache>
            </c:numRef>
          </c:yVal>
          <c:smooth val="0"/>
          <c:extLst>
            <c:ext xmlns:c16="http://schemas.microsoft.com/office/drawing/2014/chart" uri="{C3380CC4-5D6E-409C-BE32-E72D297353CC}">
              <c16:uniqueId val="{00000000-C156-447F-B39D-EBA185F3AFEB}"/>
            </c:ext>
          </c:extLst>
        </c:ser>
        <c:ser>
          <c:idx val="1"/>
          <c:order val="1"/>
          <c:tx>
            <c:v>Pred</c:v>
          </c:tx>
          <c:spPr>
            <a:ln w="28575">
              <a:solidFill>
                <a:srgbClr val="C0504D"/>
              </a:solidFill>
            </a:ln>
          </c:spPr>
          <c:marker>
            <c:symbol val="none"/>
          </c:marker>
          <c:xVal>
            <c:numRef>
              <c:f>Length_Weight!$G$21:$G$40</c:f>
              <c:numCache>
                <c:formatCode>General</c:formatCode>
                <c:ptCount val="20"/>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pt idx="18">
                  <c:v>36</c:v>
                </c:pt>
                <c:pt idx="19">
                  <c:v>38</c:v>
                </c:pt>
              </c:numCache>
            </c:numRef>
          </c:xVal>
          <c:yVal>
            <c:numRef>
              <c:f>Length_Weight!$H$21:$H$40</c:f>
              <c:numCache>
                <c:formatCode>General</c:formatCode>
                <c:ptCount val="20"/>
                <c:pt idx="0">
                  <c:v>0</c:v>
                </c:pt>
                <c:pt idx="1">
                  <c:v>0.55735499701644708</c:v>
                </c:pt>
                <c:pt idx="2">
                  <c:v>3.3202454856033805</c:v>
                </c:pt>
                <c:pt idx="3">
                  <c:v>9.430582842929855</c:v>
                </c:pt>
                <c:pt idx="4">
                  <c:v>19.779189463953653</c:v>
                </c:pt>
                <c:pt idx="5">
                  <c:v>35.132988421302379</c:v>
                </c:pt>
                <c:pt idx="6">
                  <c:v>56.179365536257279</c:v>
                </c:pt>
                <c:pt idx="7">
                  <c:v>83.548657028049561</c:v>
                </c:pt>
                <c:pt idx="8">
                  <c:v>117.82753339995287</c:v>
                </c:pt>
                <c:pt idx="9">
                  <c:v>159.56776782022558</c:v>
                </c:pt>
                <c:pt idx="10">
                  <c:v>209.29236631235008</c:v>
                </c:pt>
                <c:pt idx="11">
                  <c:v>267.50006073150143</c:v>
                </c:pt>
                <c:pt idx="12">
                  <c:v>334.66872245574569</c:v>
                </c:pt>
                <c:pt idx="13">
                  <c:v>411.25803076311388</c:v>
                </c:pt>
                <c:pt idx="14">
                  <c:v>497.71160716339773</c:v>
                </c:pt>
                <c:pt idx="15">
                  <c:v>594.45875537204586</c:v>
                </c:pt>
                <c:pt idx="16">
                  <c:v>701.91590269250037</c:v>
                </c:pt>
                <c:pt idx="17">
                  <c:v>820.48781048036733</c:v>
                </c:pt>
                <c:pt idx="18">
                  <c:v>950.56860275584495</c:v>
                </c:pt>
                <c:pt idx="19">
                  <c:v>1092.5426493351829</c:v>
                </c:pt>
              </c:numCache>
            </c:numRef>
          </c:yVal>
          <c:smooth val="0"/>
          <c:extLst>
            <c:ext xmlns:c16="http://schemas.microsoft.com/office/drawing/2014/chart" uri="{C3380CC4-5D6E-409C-BE32-E72D297353CC}">
              <c16:uniqueId val="{00000001-C156-447F-B39D-EBA185F3AFEB}"/>
            </c:ext>
          </c:extLst>
        </c:ser>
        <c:dLbls>
          <c:showLegendKey val="0"/>
          <c:showVal val="0"/>
          <c:showCatName val="0"/>
          <c:showSerName val="0"/>
          <c:showPercent val="0"/>
          <c:showBubbleSize val="0"/>
        </c:dLbls>
        <c:axId val="136007040"/>
        <c:axId val="136041984"/>
      </c:scatterChart>
      <c:valAx>
        <c:axId val="136007040"/>
        <c:scaling>
          <c:orientation val="minMax"/>
        </c:scaling>
        <c:delete val="0"/>
        <c:axPos val="b"/>
        <c:title>
          <c:tx>
            <c:rich>
              <a:bodyPr/>
              <a:lstStyle/>
              <a:p>
                <a:pPr>
                  <a:defRPr sz="1100"/>
                </a:pPr>
                <a:r>
                  <a:rPr lang="en-US" sz="1100"/>
                  <a:t>Length (cm)</a:t>
                </a:r>
              </a:p>
            </c:rich>
          </c:tx>
          <c:overlay val="0"/>
        </c:title>
        <c:numFmt formatCode="General" sourceLinked="1"/>
        <c:majorTickMark val="out"/>
        <c:minorTickMark val="none"/>
        <c:tickLblPos val="nextTo"/>
        <c:crossAx val="136041984"/>
        <c:crosses val="autoZero"/>
        <c:crossBetween val="midCat"/>
      </c:valAx>
      <c:valAx>
        <c:axId val="136041984"/>
        <c:scaling>
          <c:orientation val="minMax"/>
        </c:scaling>
        <c:delete val="0"/>
        <c:axPos val="l"/>
        <c:title>
          <c:tx>
            <c:rich>
              <a:bodyPr rot="-5400000" vert="horz"/>
              <a:lstStyle/>
              <a:p>
                <a:pPr>
                  <a:defRPr sz="1100"/>
                </a:pPr>
                <a:r>
                  <a:rPr lang="en-US" sz="1100"/>
                  <a:t>Weight (g)</a:t>
                </a:r>
              </a:p>
            </c:rich>
          </c:tx>
          <c:overlay val="0"/>
        </c:title>
        <c:numFmt formatCode="General" sourceLinked="1"/>
        <c:majorTickMark val="out"/>
        <c:minorTickMark val="none"/>
        <c:tickLblPos val="nextTo"/>
        <c:crossAx val="136007040"/>
        <c:crosses val="autoZero"/>
        <c:crossBetween val="midCat"/>
      </c:valAx>
    </c:plotArea>
    <c:legend>
      <c:legendPos val="r"/>
      <c:layout>
        <c:manualLayout>
          <c:xMode val="edge"/>
          <c:yMode val="edge"/>
          <c:x val="0.8160526315789477"/>
          <c:y val="0.65388784148460377"/>
          <c:w val="0.10719298245614059"/>
          <c:h val="0.12723246005858765"/>
        </c:manualLayout>
      </c:layout>
      <c:overlay val="0"/>
    </c:legend>
    <c:plotVisOnly val="1"/>
    <c:dispBlanksAs val="gap"/>
    <c:showDLblsOverMax val="0"/>
  </c:chart>
  <c:printSettings>
    <c:headerFooter/>
    <c:pageMargins b="0.75000000000000133" l="0.70000000000000062" r="0.70000000000000062" t="0.75000000000000133"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Length at Maturity</a:t>
            </a:r>
          </a:p>
        </c:rich>
      </c:tx>
      <c:layout>
        <c:manualLayout>
          <c:xMode val="edge"/>
          <c:yMode val="edge"/>
          <c:x val="0.35095393248257761"/>
          <c:y val="3.3214709371292998E-2"/>
        </c:manualLayout>
      </c:layout>
      <c:overlay val="0"/>
    </c:title>
    <c:autoTitleDeleted val="0"/>
    <c:plotArea>
      <c:layout/>
      <c:scatterChart>
        <c:scatterStyle val="lineMarker"/>
        <c:varyColors val="0"/>
        <c:ser>
          <c:idx val="0"/>
          <c:order val="0"/>
          <c:tx>
            <c:v>Observed</c:v>
          </c:tx>
          <c:spPr>
            <a:ln w="28575">
              <a:noFill/>
            </a:ln>
          </c:spPr>
          <c:xVal>
            <c:numRef>
              <c:f>'Maturity Prob Length'!$B$22:$B$32</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'Maturity Prob Length'!$C$22:$C$32</c:f>
              <c:numCache>
                <c:formatCode>0.00</c:formatCode>
                <c:ptCount val="11"/>
                <c:pt idx="0">
                  <c:v>0</c:v>
                </c:pt>
                <c:pt idx="1">
                  <c:v>0.05</c:v>
                </c:pt>
                <c:pt idx="2">
                  <c:v>0.08</c:v>
                </c:pt>
                <c:pt idx="3">
                  <c:v>0.1</c:v>
                </c:pt>
                <c:pt idx="4">
                  <c:v>0.2</c:v>
                </c:pt>
                <c:pt idx="5">
                  <c:v>0.39</c:v>
                </c:pt>
                <c:pt idx="6">
                  <c:v>0.6</c:v>
                </c:pt>
                <c:pt idx="7">
                  <c:v>0.78</c:v>
                </c:pt>
                <c:pt idx="8">
                  <c:v>0.9</c:v>
                </c:pt>
                <c:pt idx="9">
                  <c:v>0.95</c:v>
                </c:pt>
                <c:pt idx="10">
                  <c:v>0.99</c:v>
                </c:pt>
              </c:numCache>
            </c:numRef>
          </c:yVal>
          <c:smooth val="0"/>
          <c:extLst>
            <c:ext xmlns:c16="http://schemas.microsoft.com/office/drawing/2014/chart" uri="{C3380CC4-5D6E-409C-BE32-E72D297353CC}">
              <c16:uniqueId val="{00000000-87E7-4906-B681-E6AE155C187E}"/>
            </c:ext>
          </c:extLst>
        </c:ser>
        <c:ser>
          <c:idx val="1"/>
          <c:order val="1"/>
          <c:tx>
            <c:v>Predicted</c:v>
          </c:tx>
          <c:spPr>
            <a:ln w="28575">
              <a:solidFill>
                <a:srgbClr val="C0504D"/>
              </a:solidFill>
            </a:ln>
          </c:spPr>
          <c:marker>
            <c:symbol val="none"/>
          </c:marker>
          <c:xVal>
            <c:numRef>
              <c:f>'Maturity Prob Length'!$G$22:$G$40</c:f>
              <c:numCache>
                <c:formatCode>General</c:formatCode>
                <c:ptCount val="19"/>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numCache>
            </c:numRef>
          </c:xVal>
          <c:yVal>
            <c:numRef>
              <c:f>'Maturity Prob Length'!$H$22:$H$40</c:f>
              <c:numCache>
                <c:formatCode>0.0000</c:formatCode>
                <c:ptCount val="19"/>
                <c:pt idx="0">
                  <c:v>1.2556176300955449E-4</c:v>
                </c:pt>
                <c:pt idx="1">
                  <c:v>2.9480737451410301E-4</c:v>
                </c:pt>
                <c:pt idx="2">
                  <c:v>6.9202248479655211E-4</c:v>
                </c:pt>
                <c:pt idx="3">
                  <c:v>1.6235648070518124E-3</c:v>
                </c:pt>
                <c:pt idx="4">
                  <c:v>3.8042971078672536E-3</c:v>
                </c:pt>
                <c:pt idx="5">
                  <c:v>8.8880589746166434E-3</c:v>
                </c:pt>
                <c:pt idx="6">
                  <c:v>2.0624708448482805E-2</c:v>
                </c:pt>
                <c:pt idx="7">
                  <c:v>4.7122694377809048E-2</c:v>
                </c:pt>
                <c:pt idx="8">
                  <c:v>0.10404769809084223</c:v>
                </c:pt>
                <c:pt idx="9">
                  <c:v>0.21427543058723134</c:v>
                </c:pt>
                <c:pt idx="10">
                  <c:v>0.3903954233037234</c:v>
                </c:pt>
                <c:pt idx="11">
                  <c:v>0.60061860689133584</c:v>
                </c:pt>
                <c:pt idx="12">
                  <c:v>0.77932497536355305</c:v>
                </c:pt>
                <c:pt idx="13">
                  <c:v>0.89239393651348398</c:v>
                </c:pt>
                <c:pt idx="14">
                  <c:v>0.95115961489230916</c:v>
                </c:pt>
                <c:pt idx="15">
                  <c:v>0.97860180051829249</c:v>
                </c:pt>
                <c:pt idx="16">
                  <c:v>0.99077446479645115</c:v>
                </c:pt>
                <c:pt idx="17">
                  <c:v>0.99605048596797419</c:v>
                </c:pt>
                <c:pt idx="18">
                  <c:v>0.99831431992192754</c:v>
                </c:pt>
              </c:numCache>
            </c:numRef>
          </c:yVal>
          <c:smooth val="0"/>
          <c:extLst>
            <c:ext xmlns:c16="http://schemas.microsoft.com/office/drawing/2014/chart" uri="{C3380CC4-5D6E-409C-BE32-E72D297353CC}">
              <c16:uniqueId val="{00000001-87E7-4906-B681-E6AE155C187E}"/>
            </c:ext>
          </c:extLst>
        </c:ser>
        <c:dLbls>
          <c:showLegendKey val="0"/>
          <c:showVal val="0"/>
          <c:showCatName val="0"/>
          <c:showSerName val="0"/>
          <c:showPercent val="0"/>
          <c:showBubbleSize val="0"/>
        </c:dLbls>
        <c:axId val="136055808"/>
        <c:axId val="136062080"/>
      </c:scatterChart>
      <c:valAx>
        <c:axId val="136055808"/>
        <c:scaling>
          <c:orientation val="minMax"/>
          <c:min val="5"/>
        </c:scaling>
        <c:delete val="0"/>
        <c:axPos val="b"/>
        <c:title>
          <c:tx>
            <c:rich>
              <a:bodyPr/>
              <a:lstStyle/>
              <a:p>
                <a:pPr>
                  <a:defRPr/>
                </a:pPr>
                <a:r>
                  <a:rPr lang="en-US"/>
                  <a:t>Length (cm)</a:t>
                </a:r>
              </a:p>
            </c:rich>
          </c:tx>
          <c:overlay val="0"/>
        </c:title>
        <c:numFmt formatCode="General" sourceLinked="1"/>
        <c:majorTickMark val="out"/>
        <c:minorTickMark val="none"/>
        <c:tickLblPos val="nextTo"/>
        <c:crossAx val="136062080"/>
        <c:crosses val="autoZero"/>
        <c:crossBetween val="midCat"/>
      </c:valAx>
      <c:valAx>
        <c:axId val="136062080"/>
        <c:scaling>
          <c:orientation val="minMax"/>
          <c:max val="1"/>
        </c:scaling>
        <c:delete val="0"/>
        <c:axPos val="l"/>
        <c:title>
          <c:tx>
            <c:rich>
              <a:bodyPr rot="-5400000" vert="horz"/>
              <a:lstStyle/>
              <a:p>
                <a:pPr>
                  <a:defRPr/>
                </a:pPr>
                <a:r>
                  <a:rPr lang="en-US"/>
                  <a:t>Maturity Percentage</a:t>
                </a:r>
              </a:p>
            </c:rich>
          </c:tx>
          <c:overlay val="0"/>
        </c:title>
        <c:numFmt formatCode="0.00" sourceLinked="1"/>
        <c:majorTickMark val="out"/>
        <c:minorTickMark val="none"/>
        <c:tickLblPos val="nextTo"/>
        <c:crossAx val="136055808"/>
        <c:crosses val="autoZero"/>
        <c:crossBetween val="midCat"/>
      </c:valAx>
    </c:plotArea>
    <c:legend>
      <c:legendPos val="r"/>
      <c:overlay val="0"/>
    </c:legend>
    <c:plotVisOnly val="1"/>
    <c:dispBlanksAs val="gap"/>
    <c:showDLblsOverMax val="0"/>
  </c:chart>
  <c:printSettings>
    <c:headerFooter/>
    <c:pageMargins b="0.75000000000000133" l="0.70000000000000062" r="0.70000000000000062" t="0.75000000000000133"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Age at Maturity</a:t>
            </a:r>
          </a:p>
        </c:rich>
      </c:tx>
      <c:layout>
        <c:manualLayout>
          <c:xMode val="edge"/>
          <c:yMode val="edge"/>
          <c:x val="0.35095393248257761"/>
          <c:y val="3.3214709371292998E-2"/>
        </c:manualLayout>
      </c:layout>
      <c:overlay val="0"/>
    </c:title>
    <c:autoTitleDeleted val="0"/>
    <c:plotArea>
      <c:layout>
        <c:manualLayout>
          <c:layoutTarget val="inner"/>
          <c:xMode val="edge"/>
          <c:yMode val="edge"/>
          <c:x val="0.13203100448564331"/>
          <c:y val="0.13421868917103097"/>
          <c:w val="0.81209947418780104"/>
          <c:h val="0.69453440329528182"/>
        </c:manualLayout>
      </c:layout>
      <c:scatterChart>
        <c:scatterStyle val="lineMarker"/>
        <c:varyColors val="0"/>
        <c:ser>
          <c:idx val="0"/>
          <c:order val="0"/>
          <c:tx>
            <c:v>Observed</c:v>
          </c:tx>
          <c:spPr>
            <a:ln w="28575">
              <a:noFill/>
            </a:ln>
          </c:spPr>
          <c:xVal>
            <c:numRef>
              <c:f>'Maturity Prob Age'!$B$21:$B$31</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xVal>
          <c:yVal>
            <c:numRef>
              <c:f>'Maturity Prob Age'!$C$21:$C$31</c:f>
              <c:numCache>
                <c:formatCode>0.00</c:formatCode>
                <c:ptCount val="11"/>
                <c:pt idx="0">
                  <c:v>0</c:v>
                </c:pt>
                <c:pt idx="1">
                  <c:v>0.01</c:v>
                </c:pt>
                <c:pt idx="2">
                  <c:v>0.08</c:v>
                </c:pt>
                <c:pt idx="3">
                  <c:v>0.78</c:v>
                </c:pt>
                <c:pt idx="4">
                  <c:v>0.99</c:v>
                </c:pt>
                <c:pt idx="5">
                  <c:v>0.99</c:v>
                </c:pt>
                <c:pt idx="6">
                  <c:v>1</c:v>
                </c:pt>
                <c:pt idx="7">
                  <c:v>1</c:v>
                </c:pt>
                <c:pt idx="8">
                  <c:v>1</c:v>
                </c:pt>
                <c:pt idx="9">
                  <c:v>1</c:v>
                </c:pt>
                <c:pt idx="10">
                  <c:v>1</c:v>
                </c:pt>
              </c:numCache>
            </c:numRef>
          </c:yVal>
          <c:smooth val="0"/>
          <c:extLst>
            <c:ext xmlns:c16="http://schemas.microsoft.com/office/drawing/2014/chart" uri="{C3380CC4-5D6E-409C-BE32-E72D297353CC}">
              <c16:uniqueId val="{00000000-9175-4F0F-B3B2-4CE901011E11}"/>
            </c:ext>
          </c:extLst>
        </c:ser>
        <c:ser>
          <c:idx val="1"/>
          <c:order val="1"/>
          <c:tx>
            <c:v>Predicted</c:v>
          </c:tx>
          <c:spPr>
            <a:ln w="28575">
              <a:solidFill>
                <a:srgbClr val="C0504D"/>
              </a:solidFill>
            </a:ln>
          </c:spPr>
          <c:marker>
            <c:symbol val="none"/>
          </c:marker>
          <c:xVal>
            <c:numRef>
              <c:f>'Maturity Prob Age'!$G$21:$G$61</c:f>
              <c:numCache>
                <c:formatCode>General</c:formatCode>
                <c:ptCount val="41"/>
                <c:pt idx="0">
                  <c:v>0</c:v>
                </c:pt>
                <c:pt idx="1">
                  <c:v>0.25</c:v>
                </c:pt>
                <c:pt idx="2">
                  <c:v>0.5</c:v>
                </c:pt>
                <c:pt idx="3">
                  <c:v>0.75</c:v>
                </c:pt>
                <c:pt idx="4">
                  <c:v>1</c:v>
                </c:pt>
                <c:pt idx="5">
                  <c:v>1.25</c:v>
                </c:pt>
                <c:pt idx="6">
                  <c:v>1.5</c:v>
                </c:pt>
                <c:pt idx="7">
                  <c:v>1.75</c:v>
                </c:pt>
                <c:pt idx="8">
                  <c:v>2</c:v>
                </c:pt>
                <c:pt idx="9">
                  <c:v>2.25</c:v>
                </c:pt>
                <c:pt idx="10">
                  <c:v>2.5</c:v>
                </c:pt>
                <c:pt idx="11">
                  <c:v>2.75</c:v>
                </c:pt>
                <c:pt idx="12">
                  <c:v>3</c:v>
                </c:pt>
                <c:pt idx="13">
                  <c:v>3.25</c:v>
                </c:pt>
                <c:pt idx="14">
                  <c:v>3.5</c:v>
                </c:pt>
                <c:pt idx="15">
                  <c:v>3.75</c:v>
                </c:pt>
                <c:pt idx="16">
                  <c:v>4</c:v>
                </c:pt>
                <c:pt idx="17">
                  <c:v>4.25</c:v>
                </c:pt>
                <c:pt idx="18">
                  <c:v>4.5</c:v>
                </c:pt>
                <c:pt idx="19">
                  <c:v>4.75</c:v>
                </c:pt>
                <c:pt idx="20">
                  <c:v>5</c:v>
                </c:pt>
                <c:pt idx="21">
                  <c:v>5.25</c:v>
                </c:pt>
                <c:pt idx="22">
                  <c:v>5.5</c:v>
                </c:pt>
                <c:pt idx="23">
                  <c:v>5.75</c:v>
                </c:pt>
                <c:pt idx="24">
                  <c:v>6</c:v>
                </c:pt>
                <c:pt idx="25">
                  <c:v>6.25</c:v>
                </c:pt>
                <c:pt idx="26">
                  <c:v>6.5</c:v>
                </c:pt>
                <c:pt idx="27">
                  <c:v>6.75</c:v>
                </c:pt>
                <c:pt idx="28">
                  <c:v>7</c:v>
                </c:pt>
                <c:pt idx="29">
                  <c:v>7.25</c:v>
                </c:pt>
                <c:pt idx="30">
                  <c:v>7.5</c:v>
                </c:pt>
                <c:pt idx="31">
                  <c:v>7.75</c:v>
                </c:pt>
                <c:pt idx="32">
                  <c:v>8</c:v>
                </c:pt>
                <c:pt idx="33">
                  <c:v>8.25</c:v>
                </c:pt>
                <c:pt idx="34">
                  <c:v>8.5</c:v>
                </c:pt>
                <c:pt idx="35">
                  <c:v>8.75</c:v>
                </c:pt>
                <c:pt idx="36">
                  <c:v>9</c:v>
                </c:pt>
                <c:pt idx="37">
                  <c:v>9.25</c:v>
                </c:pt>
                <c:pt idx="38">
                  <c:v>9.5</c:v>
                </c:pt>
                <c:pt idx="39">
                  <c:v>9.75</c:v>
                </c:pt>
                <c:pt idx="40">
                  <c:v>10</c:v>
                </c:pt>
              </c:numCache>
            </c:numRef>
          </c:xVal>
          <c:yVal>
            <c:numRef>
              <c:f>'Maturity Prob Age'!$H$21:$H$61</c:f>
              <c:numCache>
                <c:formatCode>General</c:formatCode>
                <c:ptCount val="41"/>
                <c:pt idx="0">
                  <c:v>5.4236970915663094E-5</c:v>
                </c:pt>
                <c:pt idx="1">
                  <c:v>1.366030673468571E-4</c:v>
                </c:pt>
                <c:pt idx="2">
                  <c:v>3.4401006809342625E-4</c:v>
                </c:pt>
                <c:pt idx="3">
                  <c:v>8.6605424407401057E-4</c:v>
                </c:pt>
                <c:pt idx="4">
                  <c:v>2.1785874547465812E-3</c:v>
                </c:pt>
                <c:pt idx="5">
                  <c:v>5.4694180635617221E-3</c:v>
                </c:pt>
                <c:pt idx="6">
                  <c:v>1.3663094152418676E-2</c:v>
                </c:pt>
                <c:pt idx="7">
                  <c:v>3.3715498903869719E-2</c:v>
                </c:pt>
                <c:pt idx="8">
                  <c:v>8.0787009034770041E-2</c:v>
                </c:pt>
                <c:pt idx="9">
                  <c:v>0.18124981997463754</c:v>
                </c:pt>
                <c:pt idx="10">
                  <c:v>0.35798887385962724</c:v>
                </c:pt>
                <c:pt idx="11">
                  <c:v>0.58411649434939172</c:v>
                </c:pt>
                <c:pt idx="12">
                  <c:v>0.77962703397390076</c:v>
                </c:pt>
                <c:pt idx="13">
                  <c:v>0.89910261964306737</c:v>
                </c:pt>
                <c:pt idx="14">
                  <c:v>0.95734797535619331</c:v>
                </c:pt>
                <c:pt idx="15">
                  <c:v>0.98261980903097734</c:v>
                </c:pt>
                <c:pt idx="16">
                  <c:v>0.99302684659296947</c:v>
                </c:pt>
                <c:pt idx="17">
                  <c:v>0.99721991309111768</c:v>
                </c:pt>
                <c:pt idx="18">
                  <c:v>0.99889443005788237</c:v>
                </c:pt>
                <c:pt idx="19">
                  <c:v>0.99956078714529217</c:v>
                </c:pt>
                <c:pt idx="20">
                  <c:v>0.99982558281307687</c:v>
                </c:pt>
                <c:pt idx="21">
                  <c:v>0.99993074770720136</c:v>
                </c:pt>
                <c:pt idx="22">
                  <c:v>0.99997250514123193</c:v>
                </c:pt>
                <c:pt idx="23">
                  <c:v>0.9999890841415785</c:v>
                </c:pt>
                <c:pt idx="24">
                  <c:v>0.99999566628892789</c:v>
                </c:pt>
                <c:pt idx="25">
                  <c:v>0.99999827947776632</c:v>
                </c:pt>
                <c:pt idx="26">
                  <c:v>0.99999931693829092</c:v>
                </c:pt>
                <c:pt idx="27">
                  <c:v>0.99999972881896104</c:v>
                </c:pt>
                <c:pt idx="28">
                  <c:v>0.99999989233895481</c:v>
                </c:pt>
                <c:pt idx="29">
                  <c:v>0.99999995725770652</c:v>
                </c:pt>
                <c:pt idx="30">
                  <c:v>0.99999998303096949</c:v>
                </c:pt>
                <c:pt idx="31">
                  <c:v>0.9999999932631598</c:v>
                </c:pt>
                <c:pt idx="32">
                  <c:v>0.999999997325421</c:v>
                </c:pt>
                <c:pt idx="33">
                  <c:v>0.99999999893817093</c:v>
                </c:pt>
                <c:pt idx="34">
                  <c:v>0.99999999957844543</c:v>
                </c:pt>
                <c:pt idx="35">
                  <c:v>0.99999999983263943</c:v>
                </c:pt>
                <c:pt idx="36">
                  <c:v>0.99999999993355648</c:v>
                </c:pt>
                <c:pt idx="37">
                  <c:v>0.99999999997362132</c:v>
                </c:pt>
                <c:pt idx="38">
                  <c:v>0.99999999998952749</c:v>
                </c:pt>
                <c:pt idx="39">
                  <c:v>0.99999999999584244</c:v>
                </c:pt>
                <c:pt idx="40">
                  <c:v>0.99999999999834932</c:v>
                </c:pt>
              </c:numCache>
            </c:numRef>
          </c:yVal>
          <c:smooth val="0"/>
          <c:extLst>
            <c:ext xmlns:c16="http://schemas.microsoft.com/office/drawing/2014/chart" uri="{C3380CC4-5D6E-409C-BE32-E72D297353CC}">
              <c16:uniqueId val="{00000001-9175-4F0F-B3B2-4CE901011E11}"/>
            </c:ext>
          </c:extLst>
        </c:ser>
        <c:dLbls>
          <c:showLegendKey val="0"/>
          <c:showVal val="0"/>
          <c:showCatName val="0"/>
          <c:showSerName val="0"/>
          <c:showPercent val="0"/>
          <c:showBubbleSize val="0"/>
        </c:dLbls>
        <c:axId val="136277376"/>
        <c:axId val="136308224"/>
      </c:scatterChart>
      <c:valAx>
        <c:axId val="136277376"/>
        <c:scaling>
          <c:orientation val="minMax"/>
        </c:scaling>
        <c:delete val="0"/>
        <c:axPos val="b"/>
        <c:title>
          <c:tx>
            <c:rich>
              <a:bodyPr/>
              <a:lstStyle/>
              <a:p>
                <a:pPr>
                  <a:defRPr/>
                </a:pPr>
                <a:r>
                  <a:rPr lang="en-US"/>
                  <a:t>Length (cm)</a:t>
                </a:r>
              </a:p>
            </c:rich>
          </c:tx>
          <c:overlay val="0"/>
        </c:title>
        <c:numFmt formatCode="General" sourceLinked="1"/>
        <c:majorTickMark val="out"/>
        <c:minorTickMark val="none"/>
        <c:tickLblPos val="nextTo"/>
        <c:crossAx val="136308224"/>
        <c:crosses val="autoZero"/>
        <c:crossBetween val="midCat"/>
      </c:valAx>
      <c:valAx>
        <c:axId val="136308224"/>
        <c:scaling>
          <c:orientation val="minMax"/>
          <c:max val="1"/>
        </c:scaling>
        <c:delete val="0"/>
        <c:axPos val="l"/>
        <c:title>
          <c:tx>
            <c:rich>
              <a:bodyPr rot="-5400000" vert="horz"/>
              <a:lstStyle/>
              <a:p>
                <a:pPr>
                  <a:defRPr/>
                </a:pPr>
                <a:r>
                  <a:rPr lang="en-US"/>
                  <a:t>Maturity Percentage</a:t>
                </a:r>
              </a:p>
            </c:rich>
          </c:tx>
          <c:overlay val="0"/>
        </c:title>
        <c:numFmt formatCode="0.00" sourceLinked="1"/>
        <c:majorTickMark val="out"/>
        <c:minorTickMark val="none"/>
        <c:tickLblPos val="nextTo"/>
        <c:crossAx val="136277376"/>
        <c:crosses val="autoZero"/>
        <c:crossBetween val="midCat"/>
      </c:valAx>
    </c:plotArea>
    <c:legend>
      <c:legendPos val="r"/>
      <c:layout>
        <c:manualLayout>
          <c:xMode val="edge"/>
          <c:yMode val="edge"/>
          <c:x val="0.79266443701226308"/>
          <c:y val="0.67353928845018873"/>
          <c:w val="0.1538238573021182"/>
          <c:h val="0.1153614889047959"/>
        </c:manualLayout>
      </c:layout>
      <c:overlay val="0"/>
    </c:legend>
    <c:plotVisOnly val="1"/>
    <c:dispBlanksAs val="gap"/>
    <c:showDLblsOverMax val="0"/>
  </c:chart>
  <c:printSettings>
    <c:headerFooter/>
    <c:pageMargins b="0.75000000000000155" l="0.70000000000000062" r="0.70000000000000062" t="0.7500000000000015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LN(N) vs Year: 1985 Cohort</a:t>
            </a:r>
          </a:p>
        </c:rich>
      </c:tx>
      <c:layout>
        <c:manualLayout>
          <c:xMode val="edge"/>
          <c:yMode val="edge"/>
          <c:x val="0.22536064648723644"/>
          <c:y val="5.0105728309385048E-2"/>
        </c:manualLayout>
      </c:layout>
      <c:overlay val="0"/>
    </c:title>
    <c:autoTitleDeleted val="0"/>
    <c:plotArea>
      <c:layout/>
      <c:scatterChart>
        <c:scatterStyle val="lineMarker"/>
        <c:varyColors val="0"/>
        <c:ser>
          <c:idx val="0"/>
          <c:order val="0"/>
          <c:tx>
            <c:strRef>
              <c:f>Mortality!$E$18</c:f>
              <c:strCache>
                <c:ptCount val="1"/>
                <c:pt idx="0">
                  <c:v>LN(CPUE)</c:v>
                </c:pt>
              </c:strCache>
            </c:strRef>
          </c:tx>
          <c:spPr>
            <a:ln w="28575">
              <a:noFill/>
            </a:ln>
          </c:spPr>
          <c:trendline>
            <c:name>Linear (Series2)</c:name>
            <c:trendlineType val="linear"/>
            <c:dispRSqr val="1"/>
            <c:dispEq val="1"/>
            <c:trendlineLbl>
              <c:layout>
                <c:manualLayout>
                  <c:x val="7.9702847794913378E-2"/>
                  <c:y val="-0.50543084656790749"/>
                </c:manualLayout>
              </c:layout>
              <c:numFmt formatCode="General" sourceLinked="0"/>
            </c:trendlineLbl>
          </c:trendline>
          <c:xVal>
            <c:numRef>
              <c:f>Mortality!$B$20:$B$25</c:f>
              <c:numCache>
                <c:formatCode>General</c:formatCode>
                <c:ptCount val="6"/>
                <c:pt idx="0">
                  <c:v>1986</c:v>
                </c:pt>
                <c:pt idx="1">
                  <c:v>1987</c:v>
                </c:pt>
                <c:pt idx="2">
                  <c:v>1988</c:v>
                </c:pt>
                <c:pt idx="3">
                  <c:v>1989</c:v>
                </c:pt>
                <c:pt idx="4">
                  <c:v>1990</c:v>
                </c:pt>
                <c:pt idx="5">
                  <c:v>1991</c:v>
                </c:pt>
              </c:numCache>
            </c:numRef>
          </c:xVal>
          <c:yVal>
            <c:numRef>
              <c:f>Mortality!$E$20:$E$25</c:f>
              <c:numCache>
                <c:formatCode>General</c:formatCode>
                <c:ptCount val="6"/>
                <c:pt idx="0">
                  <c:v>2.3025850929940459</c:v>
                </c:pt>
                <c:pt idx="1">
                  <c:v>1.1817271953786161</c:v>
                </c:pt>
                <c:pt idx="2">
                  <c:v>-3.0459207484708574E-2</c:v>
                </c:pt>
                <c:pt idx="3">
                  <c:v>-1.1086626245216111</c:v>
                </c:pt>
                <c:pt idx="4">
                  <c:v>-2.0402208285265546</c:v>
                </c:pt>
                <c:pt idx="5">
                  <c:v>-3.2188758248682006</c:v>
                </c:pt>
              </c:numCache>
            </c:numRef>
          </c:yVal>
          <c:smooth val="0"/>
          <c:extLst>
            <c:ext xmlns:c16="http://schemas.microsoft.com/office/drawing/2014/chart" uri="{C3380CC4-5D6E-409C-BE32-E72D297353CC}">
              <c16:uniqueId val="{00000001-1EC5-42EB-B5B8-94C8D65C3062}"/>
            </c:ext>
          </c:extLst>
        </c:ser>
        <c:dLbls>
          <c:showLegendKey val="0"/>
          <c:showVal val="0"/>
          <c:showCatName val="0"/>
          <c:showSerName val="0"/>
          <c:showPercent val="0"/>
          <c:showBubbleSize val="0"/>
        </c:dLbls>
        <c:axId val="136319360"/>
        <c:axId val="136321280"/>
      </c:scatterChart>
      <c:valAx>
        <c:axId val="136319360"/>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txPr>
          <a:bodyPr rot="2700000"/>
          <a:lstStyle/>
          <a:p>
            <a:pPr>
              <a:defRPr/>
            </a:pPr>
            <a:endParaRPr lang="en-US"/>
          </a:p>
        </c:txPr>
        <c:crossAx val="136321280"/>
        <c:crosses val="autoZero"/>
        <c:crossBetween val="midCat"/>
      </c:valAx>
      <c:valAx>
        <c:axId val="136321280"/>
        <c:scaling>
          <c:orientation val="minMax"/>
        </c:scaling>
        <c:delete val="0"/>
        <c:axPos val="l"/>
        <c:title>
          <c:tx>
            <c:rich>
              <a:bodyPr rot="-5400000" vert="horz"/>
              <a:lstStyle/>
              <a:p>
                <a:pPr>
                  <a:defRPr/>
                </a:pPr>
                <a:r>
                  <a:rPr lang="en-US"/>
                  <a:t>LN(N)</a:t>
                </a:r>
              </a:p>
            </c:rich>
          </c:tx>
          <c:overlay val="0"/>
        </c:title>
        <c:numFmt formatCode="General" sourceLinked="1"/>
        <c:majorTickMark val="out"/>
        <c:minorTickMark val="none"/>
        <c:tickLblPos val="nextTo"/>
        <c:crossAx val="136319360"/>
        <c:crosses val="autoZero"/>
        <c:crossBetween val="midCat"/>
      </c:valAx>
    </c:plotArea>
    <c:plotVisOnly val="1"/>
    <c:dispBlanksAs val="gap"/>
    <c:showDLblsOverMax val="0"/>
  </c:chart>
  <c:printSettings>
    <c:headerFooter/>
    <c:pageMargins b="0.75000000000000155" l="0.70000000000000062" r="0.70000000000000062" t="0.7500000000000015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LN(N) vs Year: 1995 Cohort</a:t>
            </a:r>
          </a:p>
        </c:rich>
      </c:tx>
      <c:layout>
        <c:manualLayout>
          <c:xMode val="edge"/>
          <c:yMode val="edge"/>
          <c:x val="0.33882217847769169"/>
          <c:y val="3.4412000583260452E-2"/>
        </c:manualLayout>
      </c:layout>
      <c:overlay val="0"/>
    </c:title>
    <c:autoTitleDeleted val="0"/>
    <c:plotArea>
      <c:layout/>
      <c:scatterChart>
        <c:scatterStyle val="lineMarker"/>
        <c:varyColors val="0"/>
        <c:ser>
          <c:idx val="0"/>
          <c:order val="0"/>
          <c:spPr>
            <a:ln w="28575">
              <a:noFill/>
            </a:ln>
          </c:spPr>
          <c:trendline>
            <c:name>Linear (Series2)</c:name>
            <c:trendlineType val="linear"/>
            <c:dispRSqr val="1"/>
            <c:dispEq val="1"/>
            <c:trendlineLbl>
              <c:layout>
                <c:manualLayout>
                  <c:x val="8.9021434820647505E-2"/>
                  <c:y val="-0.35453229804607755"/>
                </c:manualLayout>
              </c:layout>
              <c:numFmt formatCode="General" sourceLinked="0"/>
            </c:trendlineLbl>
          </c:trendline>
          <c:xVal>
            <c:numRef>
              <c:f>Mortality!$G$20:$G$25</c:f>
              <c:numCache>
                <c:formatCode>General</c:formatCode>
                <c:ptCount val="6"/>
                <c:pt idx="0">
                  <c:v>1996</c:v>
                </c:pt>
                <c:pt idx="1">
                  <c:v>1997</c:v>
                </c:pt>
                <c:pt idx="2">
                  <c:v>1998</c:v>
                </c:pt>
                <c:pt idx="3">
                  <c:v>1999</c:v>
                </c:pt>
                <c:pt idx="4">
                  <c:v>2000</c:v>
                </c:pt>
                <c:pt idx="5">
                  <c:v>2001</c:v>
                </c:pt>
              </c:numCache>
            </c:numRef>
          </c:xVal>
          <c:yVal>
            <c:numRef>
              <c:f>Mortality!$J$20:$J$25</c:f>
              <c:numCache>
                <c:formatCode>General</c:formatCode>
                <c:ptCount val="6"/>
                <c:pt idx="0">
                  <c:v>4.8625992152688511</c:v>
                </c:pt>
                <c:pt idx="1">
                  <c:v>4.2326561780196128</c:v>
                </c:pt>
                <c:pt idx="2">
                  <c:v>3.5726264972896864</c:v>
                </c:pt>
                <c:pt idx="3">
                  <c:v>2.7825390530929495</c:v>
                </c:pt>
                <c:pt idx="4">
                  <c:v>2.2628042229822012</c:v>
                </c:pt>
                <c:pt idx="5">
                  <c:v>1.4327007339340465</c:v>
                </c:pt>
              </c:numCache>
            </c:numRef>
          </c:yVal>
          <c:smooth val="0"/>
          <c:extLst>
            <c:ext xmlns:c16="http://schemas.microsoft.com/office/drawing/2014/chart" uri="{C3380CC4-5D6E-409C-BE32-E72D297353CC}">
              <c16:uniqueId val="{00000001-A8F1-45BB-B92C-42343889F5C8}"/>
            </c:ext>
          </c:extLst>
        </c:ser>
        <c:dLbls>
          <c:showLegendKey val="0"/>
          <c:showVal val="0"/>
          <c:showCatName val="0"/>
          <c:showSerName val="0"/>
          <c:showPercent val="0"/>
          <c:showBubbleSize val="0"/>
        </c:dLbls>
        <c:axId val="136353280"/>
        <c:axId val="136355200"/>
      </c:scatterChart>
      <c:valAx>
        <c:axId val="136353280"/>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136355200"/>
        <c:crosses val="autoZero"/>
        <c:crossBetween val="midCat"/>
      </c:valAx>
      <c:valAx>
        <c:axId val="136355200"/>
        <c:scaling>
          <c:orientation val="minMax"/>
        </c:scaling>
        <c:delete val="0"/>
        <c:axPos val="l"/>
        <c:title>
          <c:tx>
            <c:rich>
              <a:bodyPr rot="-5400000" vert="horz"/>
              <a:lstStyle/>
              <a:p>
                <a:pPr>
                  <a:defRPr/>
                </a:pPr>
                <a:r>
                  <a:rPr lang="en-US"/>
                  <a:t>LN(N)</a:t>
                </a:r>
              </a:p>
            </c:rich>
          </c:tx>
          <c:overlay val="0"/>
        </c:title>
        <c:numFmt formatCode="General" sourceLinked="1"/>
        <c:majorTickMark val="out"/>
        <c:minorTickMark val="none"/>
        <c:tickLblPos val="nextTo"/>
        <c:crossAx val="136353280"/>
        <c:crosses val="autoZero"/>
        <c:crossBetween val="midCat"/>
      </c:valAx>
    </c:plotArea>
    <c:plotVisOnly val="1"/>
    <c:dispBlanksAs val="gap"/>
    <c:showDLblsOverMax val="0"/>
  </c:chart>
  <c:printSettings>
    <c:headerFooter/>
    <c:pageMargins b="0.75000000000000133" l="0.70000000000000062" r="0.70000000000000062" t="0.75000000000000133"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LN(N) vs Year: 1995 Cohort</a:t>
            </a:r>
          </a:p>
        </c:rich>
      </c:tx>
      <c:layout>
        <c:manualLayout>
          <c:xMode val="edge"/>
          <c:yMode val="edge"/>
          <c:x val="0.33882217847769197"/>
          <c:y val="3.4412000583260452E-2"/>
        </c:manualLayout>
      </c:layout>
      <c:overlay val="0"/>
    </c:title>
    <c:autoTitleDeleted val="0"/>
    <c:plotArea>
      <c:layout/>
      <c:scatterChart>
        <c:scatterStyle val="lineMarker"/>
        <c:varyColors val="0"/>
        <c:ser>
          <c:idx val="0"/>
          <c:order val="0"/>
          <c:spPr>
            <a:ln w="28575">
              <a:noFill/>
            </a:ln>
          </c:spPr>
          <c:trendline>
            <c:name>Linear (Series2)</c:name>
            <c:trendlineType val="linear"/>
            <c:dispRSqr val="1"/>
            <c:dispEq val="1"/>
            <c:trendlineLbl>
              <c:layout>
                <c:manualLayout>
                  <c:x val="8.9021434820647505E-2"/>
                  <c:y val="-0.35453229804607755"/>
                </c:manualLayout>
              </c:layout>
              <c:numFmt formatCode="General" sourceLinked="0"/>
            </c:trendlineLbl>
          </c:trendline>
          <c:xVal>
            <c:numRef>
              <c:f>Mortality!$H$19:$H$25</c:f>
              <c:numCache>
                <c:formatCode>General</c:formatCode>
                <c:ptCount val="7"/>
                <c:pt idx="0">
                  <c:v>0</c:v>
                </c:pt>
                <c:pt idx="1">
                  <c:v>1</c:v>
                </c:pt>
                <c:pt idx="2">
                  <c:v>2</c:v>
                </c:pt>
                <c:pt idx="3">
                  <c:v>3</c:v>
                </c:pt>
                <c:pt idx="4">
                  <c:v>4</c:v>
                </c:pt>
                <c:pt idx="5">
                  <c:v>5</c:v>
                </c:pt>
                <c:pt idx="6">
                  <c:v>6</c:v>
                </c:pt>
              </c:numCache>
            </c:numRef>
          </c:xVal>
          <c:yVal>
            <c:numRef>
              <c:f>Mortality!$J$19:$J$25</c:f>
              <c:numCache>
                <c:formatCode>General</c:formatCode>
                <c:ptCount val="7"/>
                <c:pt idx="0">
                  <c:v>4.9549816299054212</c:v>
                </c:pt>
                <c:pt idx="1">
                  <c:v>4.8625992152688511</c:v>
                </c:pt>
                <c:pt idx="2">
                  <c:v>4.2326561780196128</c:v>
                </c:pt>
                <c:pt idx="3">
                  <c:v>3.5726264972896864</c:v>
                </c:pt>
                <c:pt idx="4">
                  <c:v>2.7825390530929495</c:v>
                </c:pt>
                <c:pt idx="5">
                  <c:v>2.2628042229822012</c:v>
                </c:pt>
                <c:pt idx="6">
                  <c:v>1.4327007339340465</c:v>
                </c:pt>
              </c:numCache>
            </c:numRef>
          </c:yVal>
          <c:smooth val="0"/>
          <c:extLst>
            <c:ext xmlns:c16="http://schemas.microsoft.com/office/drawing/2014/chart" uri="{C3380CC4-5D6E-409C-BE32-E72D297353CC}">
              <c16:uniqueId val="{00000001-0C8C-4124-B8AF-1DAAF8BBE0A1}"/>
            </c:ext>
          </c:extLst>
        </c:ser>
        <c:dLbls>
          <c:showLegendKey val="0"/>
          <c:showVal val="0"/>
          <c:showCatName val="0"/>
          <c:showSerName val="0"/>
          <c:showPercent val="0"/>
          <c:showBubbleSize val="0"/>
        </c:dLbls>
        <c:axId val="136388608"/>
        <c:axId val="136390528"/>
      </c:scatterChart>
      <c:valAx>
        <c:axId val="13638860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crossAx val="136390528"/>
        <c:crosses val="autoZero"/>
        <c:crossBetween val="midCat"/>
      </c:valAx>
      <c:valAx>
        <c:axId val="136390528"/>
        <c:scaling>
          <c:orientation val="minMax"/>
        </c:scaling>
        <c:delete val="0"/>
        <c:axPos val="l"/>
        <c:title>
          <c:tx>
            <c:rich>
              <a:bodyPr rot="-5400000" vert="horz"/>
              <a:lstStyle/>
              <a:p>
                <a:pPr>
                  <a:defRPr/>
                </a:pPr>
                <a:r>
                  <a:rPr lang="en-US"/>
                  <a:t>LN(N)</a:t>
                </a:r>
              </a:p>
            </c:rich>
          </c:tx>
          <c:overlay val="0"/>
        </c:title>
        <c:numFmt formatCode="General" sourceLinked="1"/>
        <c:majorTickMark val="out"/>
        <c:minorTickMark val="none"/>
        <c:tickLblPos val="nextTo"/>
        <c:crossAx val="136388608"/>
        <c:crosses val="autoZero"/>
        <c:crossBetween val="midCat"/>
      </c:valAx>
    </c:plotArea>
    <c:legend>
      <c:legendPos val="r"/>
      <c:overlay val="0"/>
    </c:legend>
    <c:plotVisOnly val="1"/>
    <c:dispBlanksAs val="gap"/>
    <c:showDLblsOverMax val="0"/>
  </c:chart>
  <c:printSettings>
    <c:headerFooter/>
    <c:pageMargins b="0.75000000000000155" l="0.70000000000000062" r="0.70000000000000062" t="0.7500000000000015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LN(N) vs Year: 1985 Cohort</a:t>
            </a:r>
          </a:p>
        </c:rich>
      </c:tx>
      <c:layout>
        <c:manualLayout>
          <c:xMode val="edge"/>
          <c:yMode val="edge"/>
          <c:x val="0.22536064648723644"/>
          <c:y val="5.0105728309385048E-2"/>
        </c:manualLayout>
      </c:layout>
      <c:overlay val="0"/>
    </c:title>
    <c:autoTitleDeleted val="0"/>
    <c:plotArea>
      <c:layout/>
      <c:scatterChart>
        <c:scatterStyle val="lineMarker"/>
        <c:varyColors val="0"/>
        <c:ser>
          <c:idx val="0"/>
          <c:order val="0"/>
          <c:tx>
            <c:strRef>
              <c:f>Mortality!$E$18</c:f>
              <c:strCache>
                <c:ptCount val="1"/>
                <c:pt idx="0">
                  <c:v>LN(CPUE)</c:v>
                </c:pt>
              </c:strCache>
            </c:strRef>
          </c:tx>
          <c:spPr>
            <a:ln w="28575">
              <a:noFill/>
            </a:ln>
          </c:spPr>
          <c:trendline>
            <c:name>Linear (Series2)</c:name>
            <c:trendlineType val="linear"/>
            <c:dispRSqr val="1"/>
            <c:dispEq val="1"/>
            <c:trendlineLbl>
              <c:layout>
                <c:manualLayout>
                  <c:x val="7.9702847794913406E-2"/>
                  <c:y val="-0.50543084656790749"/>
                </c:manualLayout>
              </c:layout>
              <c:numFmt formatCode="General" sourceLinked="0"/>
            </c:trendlineLbl>
          </c:trendline>
          <c:xVal>
            <c:numRef>
              <c:f>Mortality!$C$20:$C$25</c:f>
              <c:numCache>
                <c:formatCode>General</c:formatCode>
                <c:ptCount val="6"/>
                <c:pt idx="0">
                  <c:v>1</c:v>
                </c:pt>
                <c:pt idx="1">
                  <c:v>2</c:v>
                </c:pt>
                <c:pt idx="2">
                  <c:v>3</c:v>
                </c:pt>
                <c:pt idx="3">
                  <c:v>4</c:v>
                </c:pt>
                <c:pt idx="4">
                  <c:v>5</c:v>
                </c:pt>
                <c:pt idx="5">
                  <c:v>6</c:v>
                </c:pt>
              </c:numCache>
            </c:numRef>
          </c:xVal>
          <c:yVal>
            <c:numRef>
              <c:f>Mortality!$E$20:$E$25</c:f>
              <c:numCache>
                <c:formatCode>General</c:formatCode>
                <c:ptCount val="6"/>
                <c:pt idx="0">
                  <c:v>2.3025850929940459</c:v>
                </c:pt>
                <c:pt idx="1">
                  <c:v>1.1817271953786161</c:v>
                </c:pt>
                <c:pt idx="2">
                  <c:v>-3.0459207484708574E-2</c:v>
                </c:pt>
                <c:pt idx="3">
                  <c:v>-1.1086626245216111</c:v>
                </c:pt>
                <c:pt idx="4">
                  <c:v>-2.0402208285265546</c:v>
                </c:pt>
                <c:pt idx="5">
                  <c:v>-3.2188758248682006</c:v>
                </c:pt>
              </c:numCache>
            </c:numRef>
          </c:yVal>
          <c:smooth val="0"/>
          <c:extLst>
            <c:ext xmlns:c16="http://schemas.microsoft.com/office/drawing/2014/chart" uri="{C3380CC4-5D6E-409C-BE32-E72D297353CC}">
              <c16:uniqueId val="{00000001-E984-4181-B67B-835CA51716B7}"/>
            </c:ext>
          </c:extLst>
        </c:ser>
        <c:dLbls>
          <c:showLegendKey val="0"/>
          <c:showVal val="0"/>
          <c:showCatName val="0"/>
          <c:showSerName val="0"/>
          <c:showPercent val="0"/>
          <c:showBubbleSize val="0"/>
        </c:dLbls>
        <c:axId val="136425472"/>
        <c:axId val="136427392"/>
      </c:scatterChart>
      <c:valAx>
        <c:axId val="136425472"/>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txPr>
          <a:bodyPr rot="2700000"/>
          <a:lstStyle/>
          <a:p>
            <a:pPr>
              <a:defRPr/>
            </a:pPr>
            <a:endParaRPr lang="en-US"/>
          </a:p>
        </c:txPr>
        <c:crossAx val="136427392"/>
        <c:crosses val="autoZero"/>
        <c:crossBetween val="midCat"/>
      </c:valAx>
      <c:valAx>
        <c:axId val="136427392"/>
        <c:scaling>
          <c:orientation val="minMax"/>
        </c:scaling>
        <c:delete val="0"/>
        <c:axPos val="l"/>
        <c:title>
          <c:tx>
            <c:rich>
              <a:bodyPr rot="-5400000" vert="horz"/>
              <a:lstStyle/>
              <a:p>
                <a:pPr>
                  <a:defRPr/>
                </a:pPr>
                <a:r>
                  <a:rPr lang="en-US"/>
                  <a:t>LN(N)</a:t>
                </a:r>
              </a:p>
            </c:rich>
          </c:tx>
          <c:overlay val="0"/>
        </c:title>
        <c:numFmt formatCode="General" sourceLinked="1"/>
        <c:majorTickMark val="out"/>
        <c:minorTickMark val="none"/>
        <c:tickLblPos val="nextTo"/>
        <c:crossAx val="136425472"/>
        <c:crosses val="autoZero"/>
        <c:crossBetween val="midCat"/>
      </c:valAx>
    </c:plotArea>
    <c:legend>
      <c:legendPos val="r"/>
      <c:overlay val="0"/>
    </c:legend>
    <c:plotVisOnly val="1"/>
    <c:dispBlanksAs val="gap"/>
    <c:showDLblsOverMax val="0"/>
  </c:chart>
  <c:printSettings>
    <c:headerFooter/>
    <c:pageMargins b="0.75000000000000155" l="0.70000000000000062" r="0.70000000000000062" t="0.75000000000000155"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Selection</a:t>
            </a:r>
            <a:r>
              <a:rPr lang="en-US" baseline="0"/>
              <a:t> Probability vs Length</a:t>
            </a:r>
            <a:endParaRPr lang="en-US"/>
          </a:p>
        </c:rich>
      </c:tx>
      <c:overlay val="0"/>
    </c:title>
    <c:autoTitleDeleted val="0"/>
    <c:plotArea>
      <c:layout/>
      <c:scatterChart>
        <c:scatterStyle val="lineMarker"/>
        <c:varyColors val="0"/>
        <c:ser>
          <c:idx val="0"/>
          <c:order val="0"/>
          <c:tx>
            <c:v>Square Raw</c:v>
          </c:tx>
          <c:spPr>
            <a:ln w="28575">
              <a:noFill/>
            </a:ln>
          </c:spPr>
          <c:marker>
            <c:symbol val="square"/>
            <c:size val="5"/>
          </c:marker>
          <c:xVal>
            <c:numRef>
              <c:f>Selectivity!$B$34:$B$53</c:f>
              <c:numCache>
                <c:formatCode>General</c:formatCode>
                <c:ptCount val="20"/>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numCache>
            </c:numRef>
          </c:xVal>
          <c:yVal>
            <c:numRef>
              <c:f>Selectivity!$C$34:$C$53</c:f>
              <c:numCache>
                <c:formatCode>General</c:formatCode>
                <c:ptCount val="20"/>
                <c:pt idx="0">
                  <c:v>0</c:v>
                </c:pt>
                <c:pt idx="1">
                  <c:v>0</c:v>
                </c:pt>
                <c:pt idx="2">
                  <c:v>0</c:v>
                </c:pt>
                <c:pt idx="3">
                  <c:v>0</c:v>
                </c:pt>
                <c:pt idx="4">
                  <c:v>0</c:v>
                </c:pt>
                <c:pt idx="5" formatCode="0.00">
                  <c:v>0.01</c:v>
                </c:pt>
                <c:pt idx="6" formatCode="0.00">
                  <c:v>0.02</c:v>
                </c:pt>
                <c:pt idx="7" formatCode="0.00">
                  <c:v>0.05</c:v>
                </c:pt>
                <c:pt idx="8" formatCode="0.00">
                  <c:v>0.09</c:v>
                </c:pt>
                <c:pt idx="9" formatCode="0.00">
                  <c:v>0.15</c:v>
                </c:pt>
                <c:pt idx="10" formatCode="0.00">
                  <c:v>0.25</c:v>
                </c:pt>
                <c:pt idx="11" formatCode="0.00">
                  <c:v>0.47</c:v>
                </c:pt>
                <c:pt idx="12" formatCode="0.00">
                  <c:v>0.6</c:v>
                </c:pt>
                <c:pt idx="13" formatCode="0.00">
                  <c:v>0.78</c:v>
                </c:pt>
                <c:pt idx="14" formatCode="0.00">
                  <c:v>0.91</c:v>
                </c:pt>
                <c:pt idx="15" formatCode="0.00">
                  <c:v>0.95</c:v>
                </c:pt>
                <c:pt idx="16" formatCode="0.00">
                  <c:v>0.97</c:v>
                </c:pt>
                <c:pt idx="17" formatCode="0.00">
                  <c:v>0.98</c:v>
                </c:pt>
                <c:pt idx="18">
                  <c:v>1</c:v>
                </c:pt>
                <c:pt idx="19">
                  <c:v>1</c:v>
                </c:pt>
              </c:numCache>
            </c:numRef>
          </c:yVal>
          <c:smooth val="0"/>
          <c:extLst>
            <c:ext xmlns:c16="http://schemas.microsoft.com/office/drawing/2014/chart" uri="{C3380CC4-5D6E-409C-BE32-E72D297353CC}">
              <c16:uniqueId val="{00000000-BDD0-46F5-8D1F-B0F37112C49D}"/>
            </c:ext>
          </c:extLst>
        </c:ser>
        <c:ser>
          <c:idx val="1"/>
          <c:order val="1"/>
          <c:tx>
            <c:v>Diamond Raw</c:v>
          </c:tx>
          <c:spPr>
            <a:ln w="28575">
              <a:noFill/>
            </a:ln>
          </c:spPr>
          <c:marker>
            <c:symbol val="diamond"/>
            <c:size val="7"/>
          </c:marker>
          <c:xVal>
            <c:numRef>
              <c:f>Selectivity!$B$34:$B$53</c:f>
              <c:numCache>
                <c:formatCode>General</c:formatCode>
                <c:ptCount val="20"/>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numCache>
            </c:numRef>
          </c:xVal>
          <c:yVal>
            <c:numRef>
              <c:f>Selectivity!$H$34:$H$53</c:f>
              <c:numCache>
                <c:formatCode>General</c:formatCode>
                <c:ptCount val="20"/>
                <c:pt idx="0">
                  <c:v>0</c:v>
                </c:pt>
                <c:pt idx="1">
                  <c:v>0</c:v>
                </c:pt>
                <c:pt idx="2">
                  <c:v>0</c:v>
                </c:pt>
                <c:pt idx="3">
                  <c:v>0</c:v>
                </c:pt>
                <c:pt idx="4">
                  <c:v>0</c:v>
                </c:pt>
                <c:pt idx="5">
                  <c:v>0</c:v>
                </c:pt>
                <c:pt idx="6" formatCode="0.00">
                  <c:v>0.01</c:v>
                </c:pt>
                <c:pt idx="7" formatCode="0.00">
                  <c:v>0.06</c:v>
                </c:pt>
                <c:pt idx="8" formatCode="0.00">
                  <c:v>0.1</c:v>
                </c:pt>
                <c:pt idx="9" formatCode="0.00">
                  <c:v>0.22</c:v>
                </c:pt>
                <c:pt idx="10" formatCode="0.00">
                  <c:v>0.3</c:v>
                </c:pt>
                <c:pt idx="11" formatCode="0.00">
                  <c:v>0.51</c:v>
                </c:pt>
                <c:pt idx="12" formatCode="0.00">
                  <c:v>0.7</c:v>
                </c:pt>
                <c:pt idx="13" formatCode="0.00">
                  <c:v>0.8</c:v>
                </c:pt>
                <c:pt idx="14" formatCode="0.00">
                  <c:v>0.89</c:v>
                </c:pt>
                <c:pt idx="15" formatCode="0.00">
                  <c:v>0.93</c:v>
                </c:pt>
                <c:pt idx="16" formatCode="0.00">
                  <c:v>0.96</c:v>
                </c:pt>
                <c:pt idx="17" formatCode="0.00">
                  <c:v>0.98</c:v>
                </c:pt>
                <c:pt idx="18">
                  <c:v>1</c:v>
                </c:pt>
                <c:pt idx="19">
                  <c:v>1</c:v>
                </c:pt>
              </c:numCache>
            </c:numRef>
          </c:yVal>
          <c:smooth val="0"/>
          <c:extLst>
            <c:ext xmlns:c16="http://schemas.microsoft.com/office/drawing/2014/chart" uri="{C3380CC4-5D6E-409C-BE32-E72D297353CC}">
              <c16:uniqueId val="{00000001-BDD0-46F5-8D1F-B0F37112C49D}"/>
            </c:ext>
          </c:extLst>
        </c:ser>
        <c:dLbls>
          <c:showLegendKey val="0"/>
          <c:showVal val="0"/>
          <c:showCatName val="0"/>
          <c:showSerName val="0"/>
          <c:showPercent val="0"/>
          <c:showBubbleSize val="0"/>
        </c:dLbls>
        <c:axId val="136598272"/>
        <c:axId val="136600192"/>
      </c:scatterChart>
      <c:scatterChart>
        <c:scatterStyle val="smoothMarker"/>
        <c:varyColors val="0"/>
        <c:ser>
          <c:idx val="2"/>
          <c:order val="2"/>
          <c:tx>
            <c:v>Square Predicted</c:v>
          </c:tx>
          <c:spPr>
            <a:ln w="19050">
              <a:solidFill>
                <a:schemeClr val="accent1"/>
              </a:solidFill>
            </a:ln>
          </c:spPr>
          <c:marker>
            <c:symbol val="none"/>
          </c:marker>
          <c:xVal>
            <c:numRef>
              <c:f>Selectivity!$B$34:$B$53</c:f>
              <c:numCache>
                <c:formatCode>General</c:formatCode>
                <c:ptCount val="20"/>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numCache>
            </c:numRef>
          </c:xVal>
          <c:yVal>
            <c:numRef>
              <c:f>Selectivity!$D$34:$D$53</c:f>
              <c:numCache>
                <c:formatCode>General</c:formatCode>
                <c:ptCount val="20"/>
                <c:pt idx="0">
                  <c:v>1.9171222937596424E-4</c:v>
                </c:pt>
                <c:pt idx="1">
                  <c:v>4.0865236934688941E-4</c:v>
                </c:pt>
                <c:pt idx="2">
                  <c:v>8.7086653806206732E-4</c:v>
                </c:pt>
                <c:pt idx="3">
                  <c:v>1.854906850104581E-3</c:v>
                </c:pt>
                <c:pt idx="4">
                  <c:v>3.9464767889211237E-3</c:v>
                </c:pt>
                <c:pt idx="5">
                  <c:v>8.3766825092685057E-3</c:v>
                </c:pt>
                <c:pt idx="6">
                  <c:v>1.769178083321549E-2</c:v>
                </c:pt>
                <c:pt idx="7">
                  <c:v>3.6979230885660991E-2</c:v>
                </c:pt>
                <c:pt idx="8">
                  <c:v>7.5673862670099235E-2</c:v>
                </c:pt>
                <c:pt idx="9">
                  <c:v>0.14860989142383446</c:v>
                </c:pt>
                <c:pt idx="10">
                  <c:v>0.2712164949255555</c:v>
                </c:pt>
                <c:pt idx="11">
                  <c:v>0.44241343870018568</c:v>
                </c:pt>
                <c:pt idx="12">
                  <c:v>0.62848279397231543</c:v>
                </c:pt>
                <c:pt idx="13">
                  <c:v>0.78292600069353291</c:v>
                </c:pt>
                <c:pt idx="14">
                  <c:v>0.88492168804923133</c:v>
                </c:pt>
                <c:pt idx="15">
                  <c:v>0.9425120144564566</c:v>
                </c:pt>
                <c:pt idx="16">
                  <c:v>0.9721873909099642</c:v>
                </c:pt>
                <c:pt idx="17">
                  <c:v>0.98675949306969191</c:v>
                </c:pt>
                <c:pt idx="18">
                  <c:v>0.99374582300098702</c:v>
                </c:pt>
                <c:pt idx="19">
                  <c:v>0.99705682345488467</c:v>
                </c:pt>
              </c:numCache>
            </c:numRef>
          </c:yVal>
          <c:smooth val="1"/>
          <c:extLst>
            <c:ext xmlns:c16="http://schemas.microsoft.com/office/drawing/2014/chart" uri="{C3380CC4-5D6E-409C-BE32-E72D297353CC}">
              <c16:uniqueId val="{00000002-BDD0-46F5-8D1F-B0F37112C49D}"/>
            </c:ext>
          </c:extLst>
        </c:ser>
        <c:ser>
          <c:idx val="3"/>
          <c:order val="3"/>
          <c:tx>
            <c:v>Diamond Predicted</c:v>
          </c:tx>
          <c:spPr>
            <a:ln w="19050">
              <a:solidFill>
                <a:schemeClr val="accent2"/>
              </a:solidFill>
            </a:ln>
          </c:spPr>
          <c:marker>
            <c:symbol val="none"/>
          </c:marker>
          <c:xVal>
            <c:numRef>
              <c:f>Selectivity!$B$34:$B$53</c:f>
              <c:numCache>
                <c:formatCode>General</c:formatCode>
                <c:ptCount val="20"/>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numCache>
            </c:numRef>
          </c:xVal>
          <c:yVal>
            <c:numRef>
              <c:f>Selectivity!$I$34:$I$53</c:f>
              <c:numCache>
                <c:formatCode>General</c:formatCode>
                <c:ptCount val="20"/>
                <c:pt idx="0">
                  <c:v>3.9204556771431039E-4</c:v>
                </c:pt>
                <c:pt idx="1">
                  <c:v>8.0050345922775472E-4</c:v>
                </c:pt>
                <c:pt idx="2">
                  <c:v>1.6338230821841232E-3</c:v>
                </c:pt>
                <c:pt idx="3">
                  <c:v>3.3317312417130507E-3</c:v>
                </c:pt>
                <c:pt idx="4">
                  <c:v>6.7821595595806946E-3</c:v>
                </c:pt>
                <c:pt idx="5">
                  <c:v>1.3756620400101137E-2</c:v>
                </c:pt>
                <c:pt idx="6">
                  <c:v>2.7703245474386646E-2</c:v>
                </c:pt>
                <c:pt idx="7">
                  <c:v>5.5000609722415938E-2</c:v>
                </c:pt>
                <c:pt idx="8">
                  <c:v>0.1062559592409496</c:v>
                </c:pt>
                <c:pt idx="9">
                  <c:v>0.19539991588189673</c:v>
                </c:pt>
                <c:pt idx="10">
                  <c:v>0.3315848834888499</c:v>
                </c:pt>
                <c:pt idx="11">
                  <c:v>0.50331142692341402</c:v>
                </c:pt>
                <c:pt idx="12">
                  <c:v>0.67426024235564053</c:v>
                </c:pt>
                <c:pt idx="13">
                  <c:v>0.80873151345366012</c:v>
                </c:pt>
                <c:pt idx="14">
                  <c:v>0.89623373591294342</c:v>
                </c:pt>
                <c:pt idx="15">
                  <c:v>0.94636019422009621</c:v>
                </c:pt>
                <c:pt idx="16">
                  <c:v>0.97300147313205732</c:v>
                </c:pt>
                <c:pt idx="17">
                  <c:v>0.98659821232601774</c:v>
                </c:pt>
                <c:pt idx="18">
                  <c:v>0.99339398170810733</c:v>
                </c:pt>
                <c:pt idx="19">
                  <c:v>0.99675509080385571</c:v>
                </c:pt>
              </c:numCache>
            </c:numRef>
          </c:yVal>
          <c:smooth val="1"/>
          <c:extLst>
            <c:ext xmlns:c16="http://schemas.microsoft.com/office/drawing/2014/chart" uri="{C3380CC4-5D6E-409C-BE32-E72D297353CC}">
              <c16:uniqueId val="{00000003-BDD0-46F5-8D1F-B0F37112C49D}"/>
            </c:ext>
          </c:extLst>
        </c:ser>
        <c:dLbls>
          <c:showLegendKey val="0"/>
          <c:showVal val="0"/>
          <c:showCatName val="0"/>
          <c:showSerName val="0"/>
          <c:showPercent val="0"/>
          <c:showBubbleSize val="0"/>
        </c:dLbls>
        <c:axId val="136598272"/>
        <c:axId val="136600192"/>
      </c:scatterChart>
      <c:valAx>
        <c:axId val="136598272"/>
        <c:scaling>
          <c:orientation val="minMax"/>
          <c:max val="30"/>
          <c:min val="8"/>
        </c:scaling>
        <c:delete val="0"/>
        <c:axPos val="b"/>
        <c:title>
          <c:tx>
            <c:rich>
              <a:bodyPr/>
              <a:lstStyle/>
              <a:p>
                <a:pPr>
                  <a:defRPr/>
                </a:pPr>
                <a:r>
                  <a:rPr lang="en-US"/>
                  <a:t>Length</a:t>
                </a:r>
              </a:p>
            </c:rich>
          </c:tx>
          <c:overlay val="0"/>
        </c:title>
        <c:numFmt formatCode="General" sourceLinked="1"/>
        <c:majorTickMark val="out"/>
        <c:minorTickMark val="none"/>
        <c:tickLblPos val="nextTo"/>
        <c:crossAx val="136600192"/>
        <c:crosses val="autoZero"/>
        <c:crossBetween val="midCat"/>
      </c:valAx>
      <c:valAx>
        <c:axId val="136600192"/>
        <c:scaling>
          <c:orientation val="minMax"/>
          <c:max val="1"/>
        </c:scaling>
        <c:delete val="0"/>
        <c:axPos val="l"/>
        <c:majorGridlines/>
        <c:title>
          <c:tx>
            <c:rich>
              <a:bodyPr rot="-5400000" vert="horz"/>
              <a:lstStyle/>
              <a:p>
                <a:pPr>
                  <a:defRPr/>
                </a:pPr>
                <a:r>
                  <a:rPr lang="en-US"/>
                  <a:t>Probability</a:t>
                </a:r>
              </a:p>
            </c:rich>
          </c:tx>
          <c:overlay val="0"/>
        </c:title>
        <c:numFmt formatCode="General" sourceLinked="1"/>
        <c:majorTickMark val="out"/>
        <c:minorTickMark val="none"/>
        <c:tickLblPos val="nextTo"/>
        <c:crossAx val="136598272"/>
        <c:crosses val="autoZero"/>
        <c:crossBetween val="midCat"/>
      </c:valAx>
    </c:plotArea>
    <c:legend>
      <c:legendPos val="r"/>
      <c:overlay val="0"/>
    </c:legend>
    <c:plotVisOnly val="1"/>
    <c:dispBlanksAs val="gap"/>
    <c:showDLblsOverMax val="0"/>
  </c:chart>
  <c:printSettings>
    <c:headerFooter/>
    <c:pageMargins b="0.75000000000000133" l="0.70000000000000062" r="0.70000000000000062" t="0.75000000000000133"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Selection</a:t>
            </a:r>
            <a:r>
              <a:rPr lang="en-US" baseline="0"/>
              <a:t> Probability vs Length</a:t>
            </a:r>
            <a:endParaRPr lang="en-US"/>
          </a:p>
        </c:rich>
      </c:tx>
      <c:overlay val="0"/>
    </c:title>
    <c:autoTitleDeleted val="0"/>
    <c:plotArea>
      <c:layout>
        <c:manualLayout>
          <c:layoutTarget val="inner"/>
          <c:xMode val="edge"/>
          <c:yMode val="edge"/>
          <c:x val="9.613121262638441E-2"/>
          <c:y val="0.11356966006779518"/>
          <c:w val="0.85257270271309293"/>
          <c:h val="0.74152911048062331"/>
        </c:manualLayout>
      </c:layout>
      <c:scatterChart>
        <c:scatterStyle val="lineMarker"/>
        <c:varyColors val="0"/>
        <c:ser>
          <c:idx val="0"/>
          <c:order val="0"/>
          <c:tx>
            <c:v>Raw Known</c:v>
          </c:tx>
          <c:spPr>
            <a:ln w="28575">
              <a:noFill/>
            </a:ln>
          </c:spPr>
          <c:marker>
            <c:symbol val="square"/>
            <c:size val="5"/>
          </c:marker>
          <c:xVal>
            <c:numRef>
              <c:f>'Using Select to predict'!$B$23:$B$54</c:f>
              <c:numCache>
                <c:formatCode>General</c:formatCode>
                <c:ptCount val="32"/>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pt idx="31">
                  <c:v>41</c:v>
                </c:pt>
              </c:numCache>
            </c:numRef>
          </c:xVal>
          <c:yVal>
            <c:numRef>
              <c:f>'Using Select to predict'!$C$23:$C$54</c:f>
              <c:numCache>
                <c:formatCode>General</c:formatCode>
                <c:ptCount val="32"/>
                <c:pt idx="0">
                  <c:v>0</c:v>
                </c:pt>
                <c:pt idx="1">
                  <c:v>0</c:v>
                </c:pt>
                <c:pt idx="2">
                  <c:v>0</c:v>
                </c:pt>
                <c:pt idx="3">
                  <c:v>0</c:v>
                </c:pt>
                <c:pt idx="4">
                  <c:v>0</c:v>
                </c:pt>
                <c:pt idx="5" formatCode="0.00">
                  <c:v>0.01</c:v>
                </c:pt>
                <c:pt idx="6" formatCode="0.00">
                  <c:v>0.02</c:v>
                </c:pt>
                <c:pt idx="7" formatCode="0.00">
                  <c:v>0.05</c:v>
                </c:pt>
                <c:pt idx="8" formatCode="0.00">
                  <c:v>0.09</c:v>
                </c:pt>
                <c:pt idx="9" formatCode="0.00">
                  <c:v>0.15</c:v>
                </c:pt>
                <c:pt idx="10" formatCode="0.00">
                  <c:v>0.25</c:v>
                </c:pt>
                <c:pt idx="11" formatCode="0.00">
                  <c:v>0.47</c:v>
                </c:pt>
                <c:pt idx="12" formatCode="0.00">
                  <c:v>0.6</c:v>
                </c:pt>
                <c:pt idx="13" formatCode="0.00">
                  <c:v>0.78</c:v>
                </c:pt>
                <c:pt idx="14" formatCode="0.00">
                  <c:v>0.91</c:v>
                </c:pt>
                <c:pt idx="15" formatCode="0.00">
                  <c:v>0.95</c:v>
                </c:pt>
                <c:pt idx="16" formatCode="0.00">
                  <c:v>0.97</c:v>
                </c:pt>
                <c:pt idx="17" formatCode="0.00">
                  <c:v>0.98</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numCache>
            </c:numRef>
          </c:yVal>
          <c:smooth val="0"/>
          <c:extLst>
            <c:ext xmlns:c16="http://schemas.microsoft.com/office/drawing/2014/chart" uri="{C3380CC4-5D6E-409C-BE32-E72D297353CC}">
              <c16:uniqueId val="{00000000-9E8A-475F-AB2F-675EC0541F6D}"/>
            </c:ext>
          </c:extLst>
        </c:ser>
        <c:dLbls>
          <c:showLegendKey val="0"/>
          <c:showVal val="0"/>
          <c:showCatName val="0"/>
          <c:showSerName val="0"/>
          <c:showPercent val="0"/>
          <c:showBubbleSize val="0"/>
        </c:dLbls>
        <c:axId val="136726016"/>
        <c:axId val="136727936"/>
      </c:scatterChart>
      <c:scatterChart>
        <c:scatterStyle val="smoothMarker"/>
        <c:varyColors val="0"/>
        <c:ser>
          <c:idx val="2"/>
          <c:order val="1"/>
          <c:tx>
            <c:v>Raw Predicted</c:v>
          </c:tx>
          <c:spPr>
            <a:ln w="19050">
              <a:solidFill>
                <a:schemeClr val="accent1"/>
              </a:solidFill>
            </a:ln>
          </c:spPr>
          <c:marker>
            <c:symbol val="none"/>
          </c:marker>
          <c:xVal>
            <c:numRef>
              <c:f>'Using Select to predict'!$B$23:$B$54</c:f>
              <c:numCache>
                <c:formatCode>General</c:formatCode>
                <c:ptCount val="32"/>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pt idx="31">
                  <c:v>41</c:v>
                </c:pt>
              </c:numCache>
            </c:numRef>
          </c:xVal>
          <c:yVal>
            <c:numRef>
              <c:f>'Using Select to predict'!$D$23:$D$54</c:f>
              <c:numCache>
                <c:formatCode>General</c:formatCode>
                <c:ptCount val="32"/>
                <c:pt idx="0">
                  <c:v>1.9171222937596424E-4</c:v>
                </c:pt>
                <c:pt idx="1">
                  <c:v>4.0865236934688941E-4</c:v>
                </c:pt>
                <c:pt idx="2">
                  <c:v>8.7086653806206732E-4</c:v>
                </c:pt>
                <c:pt idx="3">
                  <c:v>1.854906850104581E-3</c:v>
                </c:pt>
                <c:pt idx="4">
                  <c:v>3.9464767889211237E-3</c:v>
                </c:pt>
                <c:pt idx="5">
                  <c:v>8.3766825092685057E-3</c:v>
                </c:pt>
                <c:pt idx="6">
                  <c:v>1.769178083321549E-2</c:v>
                </c:pt>
                <c:pt idx="7">
                  <c:v>3.6979230885660991E-2</c:v>
                </c:pt>
                <c:pt idx="8">
                  <c:v>7.5673862670099235E-2</c:v>
                </c:pt>
                <c:pt idx="9">
                  <c:v>0.14860989142383446</c:v>
                </c:pt>
                <c:pt idx="10">
                  <c:v>0.2712164949255555</c:v>
                </c:pt>
                <c:pt idx="11">
                  <c:v>0.44241343870018568</c:v>
                </c:pt>
                <c:pt idx="12">
                  <c:v>0.62848279397231543</c:v>
                </c:pt>
                <c:pt idx="13">
                  <c:v>0.78292600069353291</c:v>
                </c:pt>
                <c:pt idx="14">
                  <c:v>0.88492168804923133</c:v>
                </c:pt>
                <c:pt idx="15">
                  <c:v>0.9425120144564566</c:v>
                </c:pt>
                <c:pt idx="16">
                  <c:v>0.9721873909099642</c:v>
                </c:pt>
                <c:pt idx="17">
                  <c:v>0.98675949306969191</c:v>
                </c:pt>
                <c:pt idx="18">
                  <c:v>0.99374582300098702</c:v>
                </c:pt>
                <c:pt idx="19">
                  <c:v>0.99705682345488467</c:v>
                </c:pt>
                <c:pt idx="20">
                  <c:v>0.99861739830761809</c:v>
                </c:pt>
                <c:pt idx="21">
                  <c:v>0.99935104052603208</c:v>
                </c:pt>
                <c:pt idx="22">
                  <c:v>0.99969551296664794</c:v>
                </c:pt>
                <c:pt idx="23">
                  <c:v>0.99985716304795857</c:v>
                </c:pt>
                <c:pt idx="24">
                  <c:v>0.99993299995947482</c:v>
                </c:pt>
                <c:pt idx="25">
                  <c:v>0.99996857378569892</c:v>
                </c:pt>
                <c:pt idx="26">
                  <c:v>0.99998525988517728</c:v>
                </c:pt>
                <c:pt idx="27">
                  <c:v>0.99999308637502715</c:v>
                </c:pt>
                <c:pt idx="28">
                  <c:v>0.9999967572836298</c:v>
                </c:pt>
                <c:pt idx="29">
                  <c:v>0.99999847906286465</c:v>
                </c:pt>
                <c:pt idx="30">
                  <c:v>0.99999928663275139</c:v>
                </c:pt>
                <c:pt idx="31">
                  <c:v>0.99999966540851593</c:v>
                </c:pt>
              </c:numCache>
            </c:numRef>
          </c:yVal>
          <c:smooth val="1"/>
          <c:extLst>
            <c:ext xmlns:c16="http://schemas.microsoft.com/office/drawing/2014/chart" uri="{C3380CC4-5D6E-409C-BE32-E72D297353CC}">
              <c16:uniqueId val="{00000001-9E8A-475F-AB2F-675EC0541F6D}"/>
            </c:ext>
          </c:extLst>
        </c:ser>
        <c:ser>
          <c:idx val="1"/>
          <c:order val="2"/>
          <c:tx>
            <c:v>New Predicted</c:v>
          </c:tx>
          <c:marker>
            <c:symbol val="none"/>
          </c:marker>
          <c:xVal>
            <c:numRef>
              <c:f>'Using Select to predict'!$B$23:$B$54</c:f>
              <c:numCache>
                <c:formatCode>General</c:formatCode>
                <c:ptCount val="32"/>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pt idx="20">
                  <c:v>30</c:v>
                </c:pt>
                <c:pt idx="21">
                  <c:v>31</c:v>
                </c:pt>
                <c:pt idx="22">
                  <c:v>32</c:v>
                </c:pt>
                <c:pt idx="23">
                  <c:v>33</c:v>
                </c:pt>
                <c:pt idx="24">
                  <c:v>34</c:v>
                </c:pt>
                <c:pt idx="25">
                  <c:v>35</c:v>
                </c:pt>
                <c:pt idx="26">
                  <c:v>36</c:v>
                </c:pt>
                <c:pt idx="27">
                  <c:v>37</c:v>
                </c:pt>
                <c:pt idx="28">
                  <c:v>38</c:v>
                </c:pt>
                <c:pt idx="29">
                  <c:v>39</c:v>
                </c:pt>
                <c:pt idx="30">
                  <c:v>40</c:v>
                </c:pt>
                <c:pt idx="31">
                  <c:v>41</c:v>
                </c:pt>
              </c:numCache>
            </c:numRef>
          </c:xVal>
          <c:yVal>
            <c:numRef>
              <c:f>'Using Select to predict'!$E$23:$E$54</c:f>
              <c:numCache>
                <c:formatCode>General</c:formatCode>
                <c:ptCount val="32"/>
                <c:pt idx="0">
                  <c:v>8.8643909555054488E-7</c:v>
                </c:pt>
                <c:pt idx="1">
                  <c:v>1.889935201159458E-6</c:v>
                </c:pt>
                <c:pt idx="2">
                  <c:v>4.0294375832985405E-6</c:v>
                </c:pt>
                <c:pt idx="3">
                  <c:v>8.5909442307177155E-6</c:v>
                </c:pt>
                <c:pt idx="4">
                  <c:v>1.8316189328367195E-5</c:v>
                </c:pt>
                <c:pt idx="5">
                  <c:v>3.905031729655514E-5</c:v>
                </c:pt>
                <c:pt idx="6">
                  <c:v>8.3253752286675361E-5</c:v>
                </c:pt>
                <c:pt idx="7">
                  <c:v>1.7748486928283058E-4</c:v>
                </c:pt>
                <c:pt idx="8">
                  <c:v>3.7833152600863105E-4</c:v>
                </c:pt>
                <c:pt idx="9">
                  <c:v>8.0627838083875269E-4</c:v>
                </c:pt>
                <c:pt idx="10">
                  <c:v>1.7174624111083098E-3</c:v>
                </c:pt>
                <c:pt idx="11">
                  <c:v>3.6546191544306202E-3</c:v>
                </c:pt>
                <c:pt idx="12">
                  <c:v>7.7597459731340822E-3</c:v>
                </c:pt>
                <c:pt idx="13">
                  <c:v>1.6400140487123488E-2</c:v>
                </c:pt>
                <c:pt idx="14">
                  <c:v>3.4328663752827449E-2</c:v>
                </c:pt>
                <c:pt idx="15">
                  <c:v>7.0452678653720249E-2</c:v>
                </c:pt>
                <c:pt idx="16">
                  <c:v>0.13911379625278225</c:v>
                </c:pt>
                <c:pt idx="17">
                  <c:v>0.25624385925127896</c:v>
                </c:pt>
                <c:pt idx="18">
                  <c:v>0.42348158732317226</c:v>
                </c:pt>
                <c:pt idx="19">
                  <c:v>0.61030374242182106</c:v>
                </c:pt>
                <c:pt idx="20">
                  <c:v>0.76953289630871191</c:v>
                </c:pt>
                <c:pt idx="21">
                  <c:v>0.8768315504700136</c:v>
                </c:pt>
                <c:pt idx="22">
                  <c:v>0.93818774148816408</c:v>
                </c:pt>
                <c:pt idx="23">
                  <c:v>0.97002432072575207</c:v>
                </c:pt>
                <c:pt idx="24">
                  <c:v>0.98571308425246484</c:v>
                </c:pt>
                <c:pt idx="25">
                  <c:v>0.99324777176343892</c:v>
                </c:pt>
                <c:pt idx="26">
                  <c:v>0.99682160033270706</c:v>
                </c:pt>
                <c:pt idx="27">
                  <c:v>0.99850671189073992</c:v>
                </c:pt>
                <c:pt idx="28">
                  <c:v>0.99929904579861251</c:v>
                </c:pt>
                <c:pt idx="29">
                  <c:v>0.99967110833822492</c:v>
                </c:pt>
                <c:pt idx="30">
                  <c:v>0.99984571267008293</c:v>
                </c:pt>
                <c:pt idx="31">
                  <c:v>0.99992762852985317</c:v>
                </c:pt>
              </c:numCache>
            </c:numRef>
          </c:yVal>
          <c:smooth val="1"/>
          <c:extLst>
            <c:ext xmlns:c16="http://schemas.microsoft.com/office/drawing/2014/chart" uri="{C3380CC4-5D6E-409C-BE32-E72D297353CC}">
              <c16:uniqueId val="{00000002-9E8A-475F-AB2F-675EC0541F6D}"/>
            </c:ext>
          </c:extLst>
        </c:ser>
        <c:dLbls>
          <c:showLegendKey val="0"/>
          <c:showVal val="0"/>
          <c:showCatName val="0"/>
          <c:showSerName val="0"/>
          <c:showPercent val="0"/>
          <c:showBubbleSize val="0"/>
        </c:dLbls>
        <c:axId val="136726016"/>
        <c:axId val="136727936"/>
      </c:scatterChart>
      <c:valAx>
        <c:axId val="136726016"/>
        <c:scaling>
          <c:orientation val="minMax"/>
          <c:max val="40"/>
          <c:min val="8"/>
        </c:scaling>
        <c:delete val="0"/>
        <c:axPos val="b"/>
        <c:title>
          <c:tx>
            <c:rich>
              <a:bodyPr/>
              <a:lstStyle/>
              <a:p>
                <a:pPr>
                  <a:defRPr/>
                </a:pPr>
                <a:r>
                  <a:rPr lang="en-US"/>
                  <a:t>Length</a:t>
                </a:r>
              </a:p>
            </c:rich>
          </c:tx>
          <c:overlay val="0"/>
        </c:title>
        <c:numFmt formatCode="General" sourceLinked="1"/>
        <c:majorTickMark val="out"/>
        <c:minorTickMark val="none"/>
        <c:tickLblPos val="nextTo"/>
        <c:crossAx val="136727936"/>
        <c:crosses val="autoZero"/>
        <c:crossBetween val="midCat"/>
      </c:valAx>
      <c:valAx>
        <c:axId val="136727936"/>
        <c:scaling>
          <c:orientation val="minMax"/>
          <c:max val="1"/>
        </c:scaling>
        <c:delete val="0"/>
        <c:axPos val="l"/>
        <c:title>
          <c:tx>
            <c:rich>
              <a:bodyPr rot="-5400000" vert="horz"/>
              <a:lstStyle/>
              <a:p>
                <a:pPr>
                  <a:defRPr/>
                </a:pPr>
                <a:r>
                  <a:rPr lang="en-US"/>
                  <a:t>Probability</a:t>
                </a:r>
              </a:p>
            </c:rich>
          </c:tx>
          <c:overlay val="0"/>
        </c:title>
        <c:numFmt formatCode="General" sourceLinked="1"/>
        <c:majorTickMark val="out"/>
        <c:minorTickMark val="none"/>
        <c:tickLblPos val="nextTo"/>
        <c:crossAx val="136726016"/>
        <c:crosses val="autoZero"/>
        <c:crossBetween val="midCat"/>
      </c:valAx>
    </c:plotArea>
    <c:legend>
      <c:legendPos val="r"/>
      <c:layout>
        <c:manualLayout>
          <c:xMode val="edge"/>
          <c:yMode val="edge"/>
          <c:x val="0.73778759891757684"/>
          <c:y val="0.67371970204129372"/>
          <c:w val="0.19796148492024301"/>
          <c:h val="0.14642035130224118"/>
        </c:manualLayout>
      </c:layout>
      <c:overlay val="0"/>
    </c:legend>
    <c:plotVisOnly val="1"/>
    <c:dispBlanksAs val="gap"/>
    <c:showDLblsOverMax val="0"/>
  </c:chart>
  <c:printSettings>
    <c:headerFooter/>
    <c:pageMargins b="0.75000000000000155" l="0.70000000000000062" r="0.70000000000000062" t="0.75000000000000155"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YPR and SSBPR vs F</a:t>
            </a:r>
          </a:p>
        </c:rich>
      </c:tx>
      <c:overlay val="0"/>
    </c:title>
    <c:autoTitleDeleted val="0"/>
    <c:plotArea>
      <c:layout/>
      <c:scatterChart>
        <c:scatterStyle val="lineMarker"/>
        <c:varyColors val="0"/>
        <c:ser>
          <c:idx val="2"/>
          <c:order val="0"/>
          <c:tx>
            <c:v>Ymax</c:v>
          </c:tx>
          <c:spPr>
            <a:ln>
              <a:noFill/>
            </a:ln>
          </c:spPr>
          <c:marker>
            <c:symbol val="diamond"/>
            <c:size val="8"/>
          </c:marker>
          <c:xVal>
            <c:numRef>
              <c:f>'YPR SSBRPR'!$H$82:$I$82</c:f>
              <c:numCache>
                <c:formatCode>0.00</c:formatCode>
                <c:ptCount val="2"/>
                <c:pt idx="0">
                  <c:v>1.19</c:v>
                </c:pt>
              </c:numCache>
            </c:numRef>
          </c:xVal>
          <c:yVal>
            <c:numRef>
              <c:f>'YPR SSBRPR'!$H$81:$I$81</c:f>
              <c:numCache>
                <c:formatCode>0.00</c:formatCode>
                <c:ptCount val="2"/>
                <c:pt idx="0">
                  <c:v>94.611968665777681</c:v>
                </c:pt>
              </c:numCache>
            </c:numRef>
          </c:yVal>
          <c:smooth val="0"/>
          <c:extLst>
            <c:ext xmlns:c16="http://schemas.microsoft.com/office/drawing/2014/chart" uri="{C3380CC4-5D6E-409C-BE32-E72D297353CC}">
              <c16:uniqueId val="{00000000-3B65-4138-BF0A-FCD2B85C609F}"/>
            </c:ext>
          </c:extLst>
        </c:ser>
        <c:ser>
          <c:idx val="0"/>
          <c:order val="1"/>
          <c:tx>
            <c:strRef>
              <c:f>'YPR SSBRPR'!$B$63</c:f>
              <c:strCache>
                <c:ptCount val="1"/>
                <c:pt idx="0">
                  <c:v>YPR</c:v>
                </c:pt>
              </c:strCache>
            </c:strRef>
          </c:tx>
          <c:spPr>
            <a:ln w="28575">
              <a:solidFill>
                <a:srgbClr val="4F81BD"/>
              </a:solidFill>
            </a:ln>
          </c:spPr>
          <c:marker>
            <c:symbol val="none"/>
          </c:marker>
          <c:xVal>
            <c:numRef>
              <c:f>'YPR SSBRPR'!$A$65:$A$266</c:f>
              <c:numCache>
                <c:formatCode>0.00</c:formatCode>
                <c:ptCount val="202"/>
                <c:pt idx="0">
                  <c:v>0</c:v>
                </c:pt>
                <c:pt idx="1">
                  <c:v>9.9999999999999794E-3</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numCache>
            </c:numRef>
          </c:xVal>
          <c:yVal>
            <c:numRef>
              <c:f>'YPR SSBRPR'!$B$65:$B$266</c:f>
              <c:numCache>
                <c:formatCode>0.000</c:formatCode>
                <c:ptCount val="202"/>
                <c:pt idx="0">
                  <c:v>0</c:v>
                </c:pt>
                <c:pt idx="1">
                  <c:v>6.9234244731048786</c:v>
                </c:pt>
                <c:pt idx="2">
                  <c:v>13.21397383244488</c:v>
                </c:pt>
                <c:pt idx="3">
                  <c:v>18.943380947878168</c:v>
                </c:pt>
                <c:pt idx="4">
                  <c:v>24.173608960769158</c:v>
                </c:pt>
                <c:pt idx="5">
                  <c:v>28.958404277546553</c:v>
                </c:pt>
                <c:pt idx="6">
                  <c:v>33.344567980634523</c:v>
                </c:pt>
                <c:pt idx="7">
                  <c:v>37.373002845222629</c:v>
                </c:pt>
                <c:pt idx="8">
                  <c:v>41.079580329154126</c:v>
                </c:pt>
                <c:pt idx="9">
                  <c:v>44.495862217116432</c:v>
                </c:pt>
                <c:pt idx="10">
                  <c:v>47.649704221513588</c:v>
                </c:pt>
                <c:pt idx="11">
                  <c:v>50.565763177127899</c:v>
                </c:pt>
                <c:pt idx="12">
                  <c:v>53.265925084874318</c:v>
                </c:pt>
                <c:pt idx="13">
                  <c:v>55.769667847233833</c:v>
                </c:pt>
                <c:pt idx="14">
                  <c:v>58.094369862523187</c:v>
                </c:pt>
                <c:pt idx="15">
                  <c:v>60.255573534686398</c:v>
                </c:pt>
                <c:pt idx="16">
                  <c:v>62.26721108067607</c:v>
                </c:pt>
                <c:pt idx="17">
                  <c:v>64.141798681295896</c:v>
                </c:pt>
                <c:pt idx="18">
                  <c:v>65.890603949554617</c:v>
                </c:pt>
                <c:pt idx="19">
                  <c:v>67.523790826488593</c:v>
                </c:pt>
                <c:pt idx="20">
                  <c:v>69.050545314443312</c:v>
                </c:pt>
                <c:pt idx="21">
                  <c:v>70.479184888191256</c:v>
                </c:pt>
                <c:pt idx="22">
                  <c:v>71.817253958704001</c:v>
                </c:pt>
                <c:pt idx="23">
                  <c:v>73.071607382293678</c:v>
                </c:pt>
                <c:pt idx="24">
                  <c:v>74.248483692982418</c:v>
                </c:pt>
                <c:pt idx="25">
                  <c:v>75.353569475515087</c:v>
                </c:pt>
                <c:pt idx="26">
                  <c:v>76.392056080216435</c:v>
                </c:pt>
                <c:pt idx="27">
                  <c:v>77.368689700757642</c:v>
                </c:pt>
                <c:pt idx="28">
                  <c:v>78.287815685318577</c:v>
                </c:pt>
                <c:pt idx="29">
                  <c:v>79.153417825348996</c:v>
                </c:pt>
                <c:pt idx="30">
                  <c:v>79.969153259895762</c:v>
                </c:pt>
                <c:pt idx="31">
                  <c:v>80.738383543820902</c:v>
                </c:pt>
                <c:pt idx="32">
                  <c:v>81.464202352378948</c:v>
                </c:pt>
                <c:pt idx="33">
                  <c:v>82.149460230248323</c:v>
                </c:pt>
                <c:pt idx="34">
                  <c:v>82.796786738338724</c:v>
                </c:pt>
                <c:pt idx="35">
                  <c:v>83.408610304969258</c:v>
                </c:pt>
                <c:pt idx="36">
                  <c:v>83.98717604804925</c:v>
                </c:pt>
                <c:pt idx="37">
                  <c:v>84.534561800631252</c:v>
                </c:pt>
                <c:pt idx="38">
                  <c:v>85.052692542765641</c:v>
                </c:pt>
                <c:pt idx="39">
                  <c:v>85.543353417226584</c:v>
                </c:pt>
                <c:pt idx="40">
                  <c:v>86.008201484790149</c:v>
                </c:pt>
                <c:pt idx="41">
                  <c:v>86.44877635581058</c:v>
                </c:pt>
                <c:pt idx="42">
                  <c:v>86.866509818427161</c:v>
                </c:pt>
                <c:pt idx="43">
                  <c:v>87.262734569476834</c:v>
                </c:pt>
                <c:pt idx="44">
                  <c:v>87.638692141781945</c:v>
                </c:pt>
                <c:pt idx="45">
                  <c:v>87.995540110662517</c:v>
                </c:pt>
                <c:pt idx="46">
                  <c:v>88.334358653074119</c:v>
                </c:pt>
                <c:pt idx="47">
                  <c:v>88.656156524501753</c:v>
                </c:pt>
                <c:pt idx="48">
                  <c:v>88.961876511490516</c:v>
                </c:pt>
                <c:pt idx="49">
                  <c:v>89.252400411329234</c:v>
                </c:pt>
                <c:pt idx="50">
                  <c:v>89.528553584802154</c:v>
                </c:pt>
                <c:pt idx="51">
                  <c:v>89.79110912299349</c:v>
                </c:pt>
                <c:pt idx="52">
                  <c:v>90.040791664774432</c:v>
                </c:pt>
                <c:pt idx="53">
                  <c:v>90.278280897759004</c:v>
                </c:pt>
                <c:pt idx="54">
                  <c:v>90.504214772108881</c:v>
                </c:pt>
                <c:pt idx="55">
                  <c:v>90.71919245355167</c:v>
                </c:pt>
                <c:pt idx="56">
                  <c:v>90.923777039299395</c:v>
                </c:pt>
                <c:pt idx="57">
                  <c:v>91.118498058173472</c:v>
                </c:pt>
                <c:pt idx="58">
                  <c:v>91.303853774125827</c:v>
                </c:pt>
                <c:pt idx="59">
                  <c:v>91.480313310456438</c:v>
                </c:pt>
                <c:pt idx="60">
                  <c:v>91.648318610346536</c:v>
                </c:pt>
                <c:pt idx="61">
                  <c:v>91.808286247818373</c:v>
                </c:pt>
                <c:pt idx="62">
                  <c:v>91.960609101890256</c:v>
                </c:pt>
                <c:pt idx="63">
                  <c:v>92.105657905488187</c:v>
                </c:pt>
                <c:pt idx="64">
                  <c:v>92.243782679594972</c:v>
                </c:pt>
                <c:pt idx="65">
                  <c:v>92.375314062148462</c:v>
                </c:pt>
                <c:pt idx="66">
                  <c:v>92.500564540328966</c:v>
                </c:pt>
                <c:pt idx="67">
                  <c:v>92.619829594089339</c:v>
                </c:pt>
                <c:pt idx="68">
                  <c:v>92.733388758079613</c:v>
                </c:pt>
                <c:pt idx="69">
                  <c:v>92.841506608474916</c:v>
                </c:pt>
                <c:pt idx="70">
                  <c:v>92.944433680648771</c:v>
                </c:pt>
                <c:pt idx="71">
                  <c:v>93.042407323105365</c:v>
                </c:pt>
                <c:pt idx="72">
                  <c:v>93.135652492625212</c:v>
                </c:pt>
                <c:pt idx="73">
                  <c:v>93.224382495144027</c:v>
                </c:pt>
                <c:pt idx="74">
                  <c:v>93.308799676507604</c:v>
                </c:pt>
                <c:pt idx="75">
                  <c:v>93.389096066890858</c:v>
                </c:pt>
                <c:pt idx="76">
                  <c:v>93.465453982355868</c:v>
                </c:pt>
                <c:pt idx="77">
                  <c:v>93.538046586733984</c:v>
                </c:pt>
                <c:pt idx="78">
                  <c:v>93.607038416756467</c:v>
                </c:pt>
                <c:pt idx="79">
                  <c:v>93.672585873118834</c:v>
                </c:pt>
                <c:pt idx="80">
                  <c:v>93.7348376799481</c:v>
                </c:pt>
                <c:pt idx="81">
                  <c:v>93.793935314944505</c:v>
                </c:pt>
                <c:pt idx="82">
                  <c:v>93.850013412287581</c:v>
                </c:pt>
                <c:pt idx="83">
                  <c:v>93.903200140233039</c:v>
                </c:pt>
                <c:pt idx="84">
                  <c:v>93.953617555176621</c:v>
                </c:pt>
                <c:pt idx="85">
                  <c:v>94.001381933820795</c:v>
                </c:pt>
                <c:pt idx="86">
                  <c:v>94.046604084958915</c:v>
                </c:pt>
                <c:pt idx="87">
                  <c:v>94.089389642271158</c:v>
                </c:pt>
                <c:pt idx="88">
                  <c:v>94.129839339424265</c:v>
                </c:pt>
                <c:pt idx="89">
                  <c:v>94.168049268668781</c:v>
                </c:pt>
                <c:pt idx="90">
                  <c:v>94.204111124038292</c:v>
                </c:pt>
                <c:pt idx="91">
                  <c:v>94.238112430174581</c:v>
                </c:pt>
                <c:pt idx="92">
                  <c:v>94.270136757726235</c:v>
                </c:pt>
                <c:pt idx="93">
                  <c:v>94.300263926199861</c:v>
                </c:pt>
                <c:pt idx="94">
                  <c:v>94.328570195079678</c:v>
                </c:pt>
                <c:pt idx="95">
                  <c:v>94.35512844397185</c:v>
                </c:pt>
                <c:pt idx="96">
                  <c:v>94.38000834247687</c:v>
                </c:pt>
                <c:pt idx="97">
                  <c:v>94.403276510443661</c:v>
                </c:pt>
                <c:pt idx="98">
                  <c:v>94.424996669211978</c:v>
                </c:pt>
                <c:pt idx="99">
                  <c:v>94.44522978440861</c:v>
                </c:pt>
                <c:pt idx="100">
                  <c:v>94.464034200823264</c:v>
                </c:pt>
                <c:pt idx="101">
                  <c:v>94.481465769854282</c:v>
                </c:pt>
                <c:pt idx="102">
                  <c:v>94.497577969979346</c:v>
                </c:pt>
                <c:pt idx="103">
                  <c:v>94.51242202067786</c:v>
                </c:pt>
                <c:pt idx="104">
                  <c:v>94.526046990201408</c:v>
                </c:pt>
                <c:pt idx="105">
                  <c:v>94.538499897561394</c:v>
                </c:pt>
                <c:pt idx="106">
                  <c:v>94.549825809082037</c:v>
                </c:pt>
                <c:pt idx="107">
                  <c:v>94.56006792983797</c:v>
                </c:pt>
                <c:pt idx="108">
                  <c:v>94.56926769028172</c:v>
                </c:pt>
                <c:pt idx="109">
                  <c:v>94.577464828340567</c:v>
                </c:pt>
                <c:pt idx="110">
                  <c:v>94.584697467247636</c:v>
                </c:pt>
                <c:pt idx="111">
                  <c:v>94.591002189354214</c:v>
                </c:pt>
                <c:pt idx="112">
                  <c:v>94.596414106153304</c:v>
                </c:pt>
                <c:pt idx="113">
                  <c:v>94.600966924732333</c:v>
                </c:pt>
                <c:pt idx="114">
                  <c:v>94.604693010856678</c:v>
                </c:pt>
                <c:pt idx="115">
                  <c:v>94.607623448874193</c:v>
                </c:pt>
                <c:pt idx="116">
                  <c:v>94.609788098619561</c:v>
                </c:pt>
                <c:pt idx="117">
                  <c:v>94.611215649485558</c:v>
                </c:pt>
                <c:pt idx="118">
                  <c:v>94.611933671817241</c:v>
                </c:pt>
                <c:pt idx="119">
                  <c:v>94.611968665777681</c:v>
                </c:pt>
                <c:pt idx="120">
                  <c:v>94.611346107823309</c:v>
                </c:pt>
                <c:pt idx="121">
                  <c:v>94.610090494918154</c:v>
                </c:pt>
                <c:pt idx="122">
                  <c:v>94.608225386610229</c:v>
                </c:pt>
                <c:pt idx="123">
                  <c:v>94.605773445084282</c:v>
                </c:pt>
                <c:pt idx="124">
                  <c:v>94.60275647330009</c:v>
                </c:pt>
                <c:pt idx="125">
                  <c:v>94.599195451316561</c:v>
                </c:pt>
                <c:pt idx="126">
                  <c:v>94.595110570898413</c:v>
                </c:pt>
                <c:pt idx="127">
                  <c:v>94.590521268496332</c:v>
                </c:pt>
                <c:pt idx="128">
                  <c:v>94.585446256683653</c:v>
                </c:pt>
                <c:pt idx="129">
                  <c:v>94.579903554131789</c:v>
                </c:pt>
                <c:pt idx="130">
                  <c:v>94.573910514198403</c:v>
                </c:pt>
                <c:pt idx="131">
                  <c:v>94.56748385220051</c:v>
                </c:pt>
                <c:pt idx="132">
                  <c:v>94.560639671439205</c:v>
                </c:pt>
                <c:pt idx="133">
                  <c:v>94.553393488039504</c:v>
                </c:pt>
                <c:pt idx="134">
                  <c:v>94.545760254665211</c:v>
                </c:pt>
                <c:pt idx="135">
                  <c:v>94.537754383165918</c:v>
                </c:pt>
                <c:pt idx="136">
                  <c:v>94.529389766207842</c:v>
                </c:pt>
                <c:pt idx="137">
                  <c:v>94.520679797941511</c:v>
                </c:pt>
                <c:pt idx="138">
                  <c:v>94.511637393751613</c:v>
                </c:pt>
                <c:pt idx="139">
                  <c:v>94.502275009135516</c:v>
                </c:pt>
                <c:pt idx="140">
                  <c:v>94.492604657752565</c:v>
                </c:pt>
                <c:pt idx="141">
                  <c:v>94.482637928684952</c:v>
                </c:pt>
                <c:pt idx="142">
                  <c:v>94.472386002947601</c:v>
                </c:pt>
                <c:pt idx="143">
                  <c:v>94.461859669284394</c:v>
                </c:pt>
                <c:pt idx="144">
                  <c:v>94.451069339283535</c:v>
                </c:pt>
                <c:pt idx="145">
                  <c:v>94.440025061845759</c:v>
                </c:pt>
                <c:pt idx="146">
                  <c:v>94.428736537035618</c:v>
                </c:pt>
                <c:pt idx="147">
                  <c:v>94.417213129344532</c:v>
                </c:pt>
                <c:pt idx="148">
                  <c:v>94.405463880394578</c:v>
                </c:pt>
                <c:pt idx="149">
                  <c:v>94.393497521106951</c:v>
                </c:pt>
                <c:pt idx="150">
                  <c:v>94.381322483362567</c:v>
                </c:pt>
                <c:pt idx="151">
                  <c:v>94.368946911176366</c:v>
                </c:pt>
                <c:pt idx="152">
                  <c:v>94.356378671408663</c:v>
                </c:pt>
                <c:pt idx="153">
                  <c:v>94.343625364034523</c:v>
                </c:pt>
                <c:pt idx="154">
                  <c:v>94.330694331991367</c:v>
                </c:pt>
                <c:pt idx="155">
                  <c:v>94.317592670623569</c:v>
                </c:pt>
                <c:pt idx="156">
                  <c:v>94.304327236743532</c:v>
                </c:pt>
                <c:pt idx="157">
                  <c:v>94.290904657324432</c:v>
                </c:pt>
                <c:pt idx="158">
                  <c:v>94.277331337843137</c:v>
                </c:pt>
                <c:pt idx="159">
                  <c:v>94.263613470287936</c:v>
                </c:pt>
                <c:pt idx="160">
                  <c:v>94.249757040845481</c:v>
                </c:pt>
                <c:pt idx="161">
                  <c:v>94.235767837282665</c:v>
                </c:pt>
                <c:pt idx="162">
                  <c:v>94.221651456034536</c:v>
                </c:pt>
                <c:pt idx="163">
                  <c:v>94.207413309013887</c:v>
                </c:pt>
                <c:pt idx="164">
                  <c:v>94.193058630152137</c:v>
                </c:pt>
                <c:pt idx="165">
                  <c:v>94.178592481684717</c:v>
                </c:pt>
                <c:pt idx="166">
                  <c:v>94.164019760191138</c:v>
                </c:pt>
                <c:pt idx="167">
                  <c:v>94.149345202401193</c:v>
                </c:pt>
                <c:pt idx="168">
                  <c:v>94.134573390776168</c:v>
                </c:pt>
                <c:pt idx="169">
                  <c:v>94.11970875887549</c:v>
                </c:pt>
                <c:pt idx="170">
                  <c:v>94.104755596517776</c:v>
                </c:pt>
                <c:pt idx="171">
                  <c:v>94.089718054744381</c:v>
                </c:pt>
                <c:pt idx="172">
                  <c:v>94.07460015059516</c:v>
                </c:pt>
                <c:pt idx="173">
                  <c:v>94.059405771701833</c:v>
                </c:pt>
                <c:pt idx="174">
                  <c:v>94.044138680709679</c:v>
                </c:pt>
                <c:pt idx="175">
                  <c:v>94.028802519532434</c:v>
                </c:pt>
                <c:pt idx="176">
                  <c:v>94.013400813447348</c:v>
                </c:pt>
                <c:pt idx="177">
                  <c:v>93.997936975038712</c:v>
                </c:pt>
                <c:pt idx="178">
                  <c:v>93.982414307994119</c:v>
                </c:pt>
                <c:pt idx="179">
                  <c:v>93.966836010760801</c:v>
                </c:pt>
                <c:pt idx="180">
                  <c:v>93.951205180066822</c:v>
                </c:pt>
                <c:pt idx="181">
                  <c:v>93.935524814313254</c:v>
                </c:pt>
                <c:pt idx="182">
                  <c:v>93.919797816842305</c:v>
                </c:pt>
                <c:pt idx="183">
                  <c:v>93.904026999086327</c:v>
                </c:pt>
                <c:pt idx="184">
                  <c:v>93.888215083602418</c:v>
                </c:pt>
                <c:pt idx="185">
                  <c:v>93.872364706997544</c:v>
                </c:pt>
                <c:pt idx="186">
                  <c:v>93.856478422747855</c:v>
                </c:pt>
                <c:pt idx="187">
                  <c:v>93.840558703917296</c:v>
                </c:pt>
                <c:pt idx="188">
                  <c:v>93.824607945778538</c:v>
                </c:pt>
                <c:pt idx="189">
                  <c:v>93.8086284683408</c:v>
                </c:pt>
                <c:pt idx="190">
                  <c:v>93.792622518787709</c:v>
                </c:pt>
                <c:pt idx="191">
                  <c:v>93.776592273828825</c:v>
                </c:pt>
                <c:pt idx="192">
                  <c:v>93.760539841968622</c:v>
                </c:pt>
                <c:pt idx="193">
                  <c:v>93.744467265695391</c:v>
                </c:pt>
                <c:pt idx="194">
                  <c:v>93.72837652359344</c:v>
                </c:pt>
                <c:pt idx="195">
                  <c:v>93.712269532382081</c:v>
                </c:pt>
                <c:pt idx="196">
                  <c:v>93.696148148883012</c:v>
                </c:pt>
                <c:pt idx="197">
                  <c:v>93.680014171920092</c:v>
                </c:pt>
                <c:pt idx="198">
                  <c:v>93.663869344153298</c:v>
                </c:pt>
                <c:pt idx="199">
                  <c:v>93.647715353849392</c:v>
                </c:pt>
                <c:pt idx="200">
                  <c:v>93.631553836591991</c:v>
                </c:pt>
                <c:pt idx="201">
                  <c:v>93.615386376933458</c:v>
                </c:pt>
              </c:numCache>
            </c:numRef>
          </c:yVal>
          <c:smooth val="0"/>
          <c:extLst>
            <c:ext xmlns:c16="http://schemas.microsoft.com/office/drawing/2014/chart" uri="{C3380CC4-5D6E-409C-BE32-E72D297353CC}">
              <c16:uniqueId val="{00000001-3B65-4138-BF0A-FCD2B85C609F}"/>
            </c:ext>
          </c:extLst>
        </c:ser>
        <c:ser>
          <c:idx val="6"/>
          <c:order val="6"/>
          <c:tx>
            <c:strRef>
              <c:f>'YPR SSBRPR'!$G$84</c:f>
              <c:strCache>
                <c:ptCount val="1"/>
                <c:pt idx="0">
                  <c:v>F0.1</c:v>
                </c:pt>
              </c:strCache>
            </c:strRef>
          </c:tx>
          <c:spPr>
            <a:ln>
              <a:noFill/>
            </a:ln>
          </c:spPr>
          <c:marker>
            <c:symbol val="square"/>
            <c:size val="5"/>
          </c:marker>
          <c:xVal>
            <c:numRef>
              <c:f>'YPR SSBRPR'!$I$84</c:f>
              <c:numCache>
                <c:formatCode>0.00</c:formatCode>
                <c:ptCount val="1"/>
                <c:pt idx="0">
                  <c:v>0.32</c:v>
                </c:pt>
              </c:numCache>
            </c:numRef>
          </c:xVal>
          <c:yVal>
            <c:numRef>
              <c:f>'YPR SSBRPR'!$I$85</c:f>
              <c:numCache>
                <c:formatCode>0.00</c:formatCode>
                <c:ptCount val="1"/>
                <c:pt idx="0">
                  <c:v>81.464202352378948</c:v>
                </c:pt>
              </c:numCache>
            </c:numRef>
          </c:yVal>
          <c:smooth val="0"/>
          <c:extLst>
            <c:ext xmlns:c16="http://schemas.microsoft.com/office/drawing/2014/chart" uri="{C3380CC4-5D6E-409C-BE32-E72D297353CC}">
              <c16:uniqueId val="{00000002-3B65-4138-BF0A-FCD2B85C609F}"/>
            </c:ext>
          </c:extLst>
        </c:ser>
        <c:dLbls>
          <c:showLegendKey val="0"/>
          <c:showVal val="0"/>
          <c:showCatName val="0"/>
          <c:showSerName val="0"/>
          <c:showPercent val="0"/>
          <c:showBubbleSize val="0"/>
        </c:dLbls>
        <c:axId val="136994176"/>
        <c:axId val="137000448"/>
      </c:scatterChart>
      <c:scatterChart>
        <c:scatterStyle val="lineMarker"/>
        <c:varyColors val="0"/>
        <c:ser>
          <c:idx val="1"/>
          <c:order val="2"/>
          <c:tx>
            <c:strRef>
              <c:f>'YPR SSBRPR'!$C$63</c:f>
              <c:strCache>
                <c:ptCount val="1"/>
                <c:pt idx="0">
                  <c:v>SSBPR</c:v>
                </c:pt>
              </c:strCache>
            </c:strRef>
          </c:tx>
          <c:spPr>
            <a:ln w="28575">
              <a:solidFill>
                <a:schemeClr val="accent2"/>
              </a:solidFill>
            </a:ln>
          </c:spPr>
          <c:marker>
            <c:symbol val="none"/>
          </c:marker>
          <c:xVal>
            <c:numRef>
              <c:f>'YPR SSBRPR'!$A$65:$A$266</c:f>
              <c:numCache>
                <c:formatCode>0.00</c:formatCode>
                <c:ptCount val="202"/>
                <c:pt idx="0">
                  <c:v>0</c:v>
                </c:pt>
                <c:pt idx="1">
                  <c:v>9.9999999999999794E-3</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numCache>
            </c:numRef>
          </c:xVal>
          <c:yVal>
            <c:numRef>
              <c:f>'YPR SSBRPR'!$C$65:$C$266</c:f>
              <c:numCache>
                <c:formatCode>0.00</c:formatCode>
                <c:ptCount val="202"/>
                <c:pt idx="0">
                  <c:v>946.24351001862487</c:v>
                </c:pt>
                <c:pt idx="1">
                  <c:v>912.72285826377788</c:v>
                </c:pt>
                <c:pt idx="2">
                  <c:v>881.49854921147619</c:v>
                </c:pt>
                <c:pt idx="3">
                  <c:v>852.37011639198545</c:v>
                </c:pt>
                <c:pt idx="4">
                  <c:v>825.15731586433458</c:v>
                </c:pt>
                <c:pt idx="5">
                  <c:v>799.69788463103748</c:v>
                </c:pt>
                <c:pt idx="6">
                  <c:v>775.84556410929531</c:v>
                </c:pt>
                <c:pt idx="7">
                  <c:v>753.46835583899906</c:v>
                </c:pt>
                <c:pt idx="8">
                  <c:v>732.44698081201159</c:v>
                </c:pt>
                <c:pt idx="9">
                  <c:v>712.67351745878989</c:v>
                </c:pt>
                <c:pt idx="10">
                  <c:v>694.05019650148495</c:v>
                </c:pt>
                <c:pt idx="11">
                  <c:v>676.48833364123357</c:v>
                </c:pt>
                <c:pt idx="12">
                  <c:v>659.90738344676538</c:v>
                </c:pt>
                <c:pt idx="13">
                  <c:v>644.23409989944207</c:v>
                </c:pt>
                <c:pt idx="14">
                  <c:v>629.40179086781347</c:v>
                </c:pt>
                <c:pt idx="15">
                  <c:v>615.34965536839252</c:v>
                </c:pt>
                <c:pt idx="16">
                  <c:v>602.02219384960313</c:v>
                </c:pt>
                <c:pt idx="17">
                  <c:v>589.36868293948339</c:v>
                </c:pt>
                <c:pt idx="18">
                  <c:v>577.34270714789386</c:v>
                </c:pt>
                <c:pt idx="19">
                  <c:v>565.90174093080304</c:v>
                </c:pt>
                <c:pt idx="20">
                  <c:v>555.00677532504267</c:v>
                </c:pt>
                <c:pt idx="21">
                  <c:v>544.62198406186928</c:v>
                </c:pt>
                <c:pt idx="22">
                  <c:v>534.71442467977226</c:v>
                </c:pt>
                <c:pt idx="23">
                  <c:v>525.25377069259798</c:v>
                </c:pt>
                <c:pt idx="24">
                  <c:v>516.21207133806047</c:v>
                </c:pt>
                <c:pt idx="25">
                  <c:v>507.56353584260205</c:v>
                </c:pt>
                <c:pt idx="26">
                  <c:v>499.28433949881435</c:v>
                </c:pt>
                <c:pt idx="27">
                  <c:v>491.35244916764918</c:v>
                </c:pt>
                <c:pt idx="28">
                  <c:v>483.74746609507849</c:v>
                </c:pt>
                <c:pt idx="29">
                  <c:v>476.4504841765476</c:v>
                </c:pt>
                <c:pt idx="30">
                  <c:v>469.4439620167982</c:v>
                </c:pt>
                <c:pt idx="31">
                  <c:v>462.71160732105284</c:v>
                </c:pt>
                <c:pt idx="32">
                  <c:v>456.23827231944375</c:v>
                </c:pt>
                <c:pt idx="33">
                  <c:v>450.00985907266164</c:v>
                </c:pt>
                <c:pt idx="34">
                  <c:v>444.01323363561738</c:v>
                </c:pt>
                <c:pt idx="35">
                  <c:v>438.23614816952164</c:v>
                </c:pt>
                <c:pt idx="36">
                  <c:v>432.66717019310852</c:v>
                </c:pt>
                <c:pt idx="37">
                  <c:v>427.29561825233958</c:v>
                </c:pt>
                <c:pt idx="38">
                  <c:v>422.11150336629129</c:v>
                </c:pt>
                <c:pt idx="39">
                  <c:v>417.10547567625252</c:v>
                </c:pt>
                <c:pt idx="40">
                  <c:v>412.26877578646025</c:v>
                </c:pt>
                <c:pt idx="41">
                  <c:v>407.59319033930359</c:v>
                </c:pt>
                <c:pt idx="42">
                  <c:v>403.07101141609297</c:v>
                </c:pt>
                <c:pt idx="43">
                  <c:v>398.69499939731577</c:v>
                </c:pt>
                <c:pt idx="44">
                  <c:v>394.45834895435632</c:v>
                </c:pt>
                <c:pt idx="45">
                  <c:v>390.35465787849057</c:v>
                </c:pt>
                <c:pt idx="46">
                  <c:v>386.37789848306164</c:v>
                </c:pt>
                <c:pt idx="47">
                  <c:v>382.52239134155803</c:v>
                </c:pt>
                <c:pt idx="48">
                  <c:v>378.78278114819949</c:v>
                </c:pt>
                <c:pt idx="49">
                  <c:v>375.15401450895763</c:v>
                </c:pt>
                <c:pt idx="50">
                  <c:v>371.63131948995687</c:v>
                </c:pt>
                <c:pt idx="51">
                  <c:v>368.21018676720558</c:v>
                </c:pt>
                <c:pt idx="52">
                  <c:v>364.88635223681399</c:v>
                </c:pt>
                <c:pt idx="53">
                  <c:v>361.65578095845643</c:v>
                </c:pt>
                <c:pt idx="54">
                  <c:v>358.51465231702872</c:v>
                </c:pt>
                <c:pt idx="55">
                  <c:v>355.45934629837893</c:v>
                </c:pt>
                <c:pt idx="56">
                  <c:v>352.48643078479824</c:v>
                </c:pt>
                <c:pt idx="57">
                  <c:v>349.59264978476045</c:v>
                </c:pt>
                <c:pt idx="58">
                  <c:v>346.77491251931775</c:v>
                </c:pt>
                <c:pt idx="59">
                  <c:v>344.03028329468543</c:v>
                </c:pt>
                <c:pt idx="60">
                  <c:v>341.35597209694998</c:v>
                </c:pt>
                <c:pt idx="61">
                  <c:v>338.74932585062373</c:v>
                </c:pt>
                <c:pt idx="62">
                  <c:v>336.20782028797396</c:v>
                </c:pt>
                <c:pt idx="63">
                  <c:v>333.72905238076095</c:v>
                </c:pt>
                <c:pt idx="64">
                  <c:v>331.31073329026731</c:v>
                </c:pt>
                <c:pt idx="65">
                  <c:v>328.95068179534616</c:v>
                </c:pt>
                <c:pt idx="66">
                  <c:v>326.64681816169303</c:v>
                </c:pt>
                <c:pt idx="67">
                  <c:v>324.39715841868929</c:v>
                </c:pt>
                <c:pt idx="68">
                  <c:v>322.19980901303177</c:v>
                </c:pt>
                <c:pt idx="69">
                  <c:v>320.05296181094093</c:v>
                </c:pt>
                <c:pt idx="70">
                  <c:v>317.95488942310044</c:v>
                </c:pt>
                <c:pt idx="71">
                  <c:v>315.90394082861064</c:v>
                </c:pt>
                <c:pt idx="72">
                  <c:v>313.89853727618788</c:v>
                </c:pt>
                <c:pt idx="73">
                  <c:v>311.93716844260507</c:v>
                </c:pt>
                <c:pt idx="74">
                  <c:v>310.01838882998339</c:v>
                </c:pt>
                <c:pt idx="75">
                  <c:v>308.14081438501029</c:v>
                </c:pt>
                <c:pt idx="76">
                  <c:v>306.30311932449951</c:v>
                </c:pt>
                <c:pt idx="77">
                  <c:v>304.50403315293653</c:v>
                </c:pt>
                <c:pt idx="78">
                  <c:v>302.74233785876032</c:v>
                </c:pt>
                <c:pt idx="79">
                  <c:v>301.01686527716481</c:v>
                </c:pt>
                <c:pt idx="80">
                  <c:v>299.32649460812991</c:v>
                </c:pt>
                <c:pt idx="81">
                  <c:v>297.67015007925437</c:v>
                </c:pt>
                <c:pt idx="82">
                  <c:v>296.04679874374375</c:v>
                </c:pt>
                <c:pt idx="83">
                  <c:v>294.45544840462742</c:v>
                </c:pt>
                <c:pt idx="84">
                  <c:v>292.89514565693895</c:v>
                </c:pt>
                <c:pt idx="85">
                  <c:v>291.36497404020105</c:v>
                </c:pt>
                <c:pt idx="86">
                  <c:v>289.8640522941119</c:v>
                </c:pt>
                <c:pt idx="87">
                  <c:v>288.39153271084643</c:v>
                </c:pt>
                <c:pt idx="88">
                  <c:v>286.94659957785188</c:v>
                </c:pt>
                <c:pt idx="89">
                  <c:v>285.52846770545693</c:v>
                </c:pt>
                <c:pt idx="90">
                  <c:v>284.13638103400945</c:v>
                </c:pt>
                <c:pt idx="91">
                  <c:v>282.76961131563394</c:v>
                </c:pt>
                <c:pt idx="92">
                  <c:v>281.42745686602922</c:v>
                </c:pt>
                <c:pt idx="93">
                  <c:v>280.10924138205382</c:v>
                </c:pt>
                <c:pt idx="94">
                  <c:v>278.81431282113004</c:v>
                </c:pt>
                <c:pt idx="95">
                  <c:v>277.54204233876504</c:v>
                </c:pt>
                <c:pt idx="96">
                  <c:v>276.29182328074199</c:v>
                </c:pt>
                <c:pt idx="97">
                  <c:v>275.06307022675969</c:v>
                </c:pt>
                <c:pt idx="98">
                  <c:v>273.85521808251315</c:v>
                </c:pt>
                <c:pt idx="99">
                  <c:v>272.6677212174057</c:v>
                </c:pt>
                <c:pt idx="100">
                  <c:v>271.50005264526658</c:v>
                </c:pt>
                <c:pt idx="101">
                  <c:v>270.35170324561557</c:v>
                </c:pt>
                <c:pt idx="102">
                  <c:v>269.22218102317919</c:v>
                </c:pt>
                <c:pt idx="103">
                  <c:v>268.11101040350093</c:v>
                </c:pt>
                <c:pt idx="104">
                  <c:v>267.01773156263505</c:v>
                </c:pt>
                <c:pt idx="105">
                  <c:v>265.94189978902847</c:v>
                </c:pt>
                <c:pt idx="106">
                  <c:v>264.88308487582458</c:v>
                </c:pt>
                <c:pt idx="107">
                  <c:v>263.84087054192258</c:v>
                </c:pt>
                <c:pt idx="108">
                  <c:v>262.81485388023316</c:v>
                </c:pt>
                <c:pt idx="109">
                  <c:v>261.80464483166941</c:v>
                </c:pt>
                <c:pt idx="110">
                  <c:v>260.80986568348953</c:v>
                </c:pt>
                <c:pt idx="111">
                  <c:v>259.83015059070692</c:v>
                </c:pt>
                <c:pt idx="112">
                  <c:v>258.86514511934371</c:v>
                </c:pt>
                <c:pt idx="113">
                  <c:v>257.91450581038885</c:v>
                </c:pt>
                <c:pt idx="114">
                  <c:v>256.97789976338339</c:v>
                </c:pt>
                <c:pt idx="115">
                  <c:v>256.05500423861736</c:v>
                </c:pt>
                <c:pt idx="116">
                  <c:v>255.14550627698588</c:v>
                </c:pt>
                <c:pt idx="117">
                  <c:v>254.24910233660469</c:v>
                </c:pt>
                <c:pt idx="118">
                  <c:v>253.3654979453369</c:v>
                </c:pt>
                <c:pt idx="119">
                  <c:v>252.49440736842982</c:v>
                </c:pt>
                <c:pt idx="120">
                  <c:v>251.63555329051192</c:v>
                </c:pt>
                <c:pt idx="121">
                  <c:v>250.78866651123195</c:v>
                </c:pt>
                <c:pt idx="122">
                  <c:v>249.95348565387371</c:v>
                </c:pt>
                <c:pt idx="123">
                  <c:v>249.12975688630743</c:v>
                </c:pt>
                <c:pt idx="124">
                  <c:v>248.31723365368052</c:v>
                </c:pt>
                <c:pt idx="125">
                  <c:v>247.51567642227909</c:v>
                </c:pt>
                <c:pt idx="126">
                  <c:v>246.72485243402448</c:v>
                </c:pt>
                <c:pt idx="127">
                  <c:v>245.94453547109802</c:v>
                </c:pt>
                <c:pt idx="128">
                  <c:v>245.1745056302141</c:v>
                </c:pt>
                <c:pt idx="129">
                  <c:v>244.41454910608545</c:v>
                </c:pt>
                <c:pt idx="130">
                  <c:v>243.66445798365382</c:v>
                </c:pt>
                <c:pt idx="131">
                  <c:v>242.9240300386752</c:v>
                </c:pt>
                <c:pt idx="132">
                  <c:v>242.19306854627504</c:v>
                </c:pt>
                <c:pt idx="133">
                  <c:v>241.47138209710758</c:v>
                </c:pt>
                <c:pt idx="134">
                  <c:v>240.75878442077115</c:v>
                </c:pt>
                <c:pt idx="135">
                  <c:v>240.05509421615187</c:v>
                </c:pt>
                <c:pt idx="136">
                  <c:v>239.36013498838054</c:v>
                </c:pt>
                <c:pt idx="137">
                  <c:v>238.67373489210979</c:v>
                </c:pt>
                <c:pt idx="138">
                  <c:v>237.99572658082758</c:v>
                </c:pt>
                <c:pt idx="139">
                  <c:v>237.3259470619389</c:v>
                </c:pt>
                <c:pt idx="140">
                  <c:v>236.664237557365</c:v>
                </c:pt>
                <c:pt idx="141">
                  <c:v>236.01044336941561</c:v>
                </c:pt>
                <c:pt idx="142">
                  <c:v>235.36441375170517</c:v>
                </c:pt>
                <c:pt idx="143">
                  <c:v>234.72600178489662</c:v>
                </c:pt>
                <c:pt idx="144">
                  <c:v>234.09506425706326</c:v>
                </c:pt>
                <c:pt idx="145">
                  <c:v>233.47146154847155</c:v>
                </c:pt>
                <c:pt idx="146">
                  <c:v>232.8550575205978</c:v>
                </c:pt>
                <c:pt idx="147">
                  <c:v>232.24571940919827</c:v>
                </c:pt>
                <c:pt idx="148">
                  <c:v>231.64331772126417</c:v>
                </c:pt>
                <c:pt idx="149">
                  <c:v>231.04772613569747</c:v>
                </c:pt>
                <c:pt idx="150">
                  <c:v>230.45882140755279</c:v>
                </c:pt>
                <c:pt idx="151">
                  <c:v>229.87648327570045</c:v>
                </c:pt>
                <c:pt idx="152">
                  <c:v>229.30059437376633</c:v>
                </c:pt>
                <c:pt idx="153">
                  <c:v>228.73104014421821</c:v>
                </c:pt>
                <c:pt idx="154">
                  <c:v>228.16770875546757</c:v>
                </c:pt>
                <c:pt idx="155">
                  <c:v>227.61049102186678</c:v>
                </c:pt>
                <c:pt idx="156">
                  <c:v>227.05928032648592</c:v>
                </c:pt>
                <c:pt idx="157">
                  <c:v>226.51397254655441</c:v>
                </c:pt>
                <c:pt idx="158">
                  <c:v>225.97446598146698</c:v>
                </c:pt>
                <c:pt idx="159">
                  <c:v>225.44066128324678</c:v>
                </c:pt>
                <c:pt idx="160">
                  <c:v>224.91246138937339</c:v>
                </c:pt>
                <c:pt idx="161">
                  <c:v>224.38977145788076</c:v>
                </c:pt>
                <c:pt idx="162">
                  <c:v>223.87249880463693</c:v>
                </c:pt>
                <c:pt idx="163">
                  <c:v>223.36055284272203</c:v>
                </c:pt>
                <c:pt idx="164">
                  <c:v>222.85384502382274</c:v>
                </c:pt>
                <c:pt idx="165">
                  <c:v>222.35228878156599</c:v>
                </c:pt>
                <c:pt idx="166">
                  <c:v>221.85579947671837</c:v>
                </c:pt>
                <c:pt idx="167">
                  <c:v>221.36429434418054</c:v>
                </c:pt>
                <c:pt idx="168">
                  <c:v>220.87769244170758</c:v>
                </c:pt>
                <c:pt idx="169">
                  <c:v>220.39591460029297</c:v>
                </c:pt>
                <c:pt idx="170">
                  <c:v>219.91888337615066</c:v>
                </c:pt>
                <c:pt idx="171">
                  <c:v>219.44652300423945</c:v>
                </c:pt>
                <c:pt idx="172">
                  <c:v>218.97875935326942</c:v>
                </c:pt>
                <c:pt idx="173">
                  <c:v>218.51551988213834</c:v>
                </c:pt>
                <c:pt idx="174">
                  <c:v>218.05673359774408</c:v>
                </c:pt>
                <c:pt idx="175">
                  <c:v>217.60233101412331</c:v>
                </c:pt>
                <c:pt idx="176">
                  <c:v>217.15224411286934</c:v>
                </c:pt>
                <c:pt idx="177">
                  <c:v>216.70640630478024</c:v>
                </c:pt>
                <c:pt idx="178">
                  <c:v>216.26475239269794</c:v>
                </c:pt>
                <c:pt idx="179">
                  <c:v>215.82721853548961</c:v>
                </c:pt>
                <c:pt idx="180">
                  <c:v>215.39374221313571</c:v>
                </c:pt>
                <c:pt idx="181">
                  <c:v>214.96426219288344</c:v>
                </c:pt>
                <c:pt idx="182">
                  <c:v>214.53871849642758</c:v>
                </c:pt>
                <c:pt idx="183">
                  <c:v>214.11705236808433</c:v>
                </c:pt>
                <c:pt idx="184">
                  <c:v>213.69920624392159</c:v>
                </c:pt>
                <c:pt idx="185">
                  <c:v>213.28512372181461</c:v>
                </c:pt>
                <c:pt idx="186">
                  <c:v>212.87474953239305</c:v>
                </c:pt>
                <c:pt idx="187">
                  <c:v>212.46802951084982</c:v>
                </c:pt>
                <c:pt idx="188">
                  <c:v>212.06491056958248</c:v>
                </c:pt>
                <c:pt idx="189">
                  <c:v>211.66534067163778</c:v>
                </c:pt>
                <c:pt idx="190">
                  <c:v>211.26926880493272</c:v>
                </c:pt>
                <c:pt idx="191">
                  <c:v>210.8766449572264</c:v>
                </c:pt>
                <c:pt idx="192">
                  <c:v>210.48742009181683</c:v>
                </c:pt>
                <c:pt idx="193">
                  <c:v>210.10154612393768</c:v>
                </c:pt>
                <c:pt idx="194">
                  <c:v>209.71897589783345</c:v>
                </c:pt>
                <c:pt idx="195">
                  <c:v>209.33966316448959</c:v>
                </c:pt>
                <c:pt idx="196">
                  <c:v>208.96356255999521</c:v>
                </c:pt>
                <c:pt idx="197">
                  <c:v>208.59062958451935</c:v>
                </c:pt>
                <c:pt idx="198">
                  <c:v>208.22082058187911</c:v>
                </c:pt>
                <c:pt idx="199">
                  <c:v>207.85409271968138</c:v>
                </c:pt>
                <c:pt idx="200">
                  <c:v>207.49040397001929</c:v>
                </c:pt>
                <c:pt idx="201">
                  <c:v>207.12971309070494</c:v>
                </c:pt>
              </c:numCache>
            </c:numRef>
          </c:yVal>
          <c:smooth val="0"/>
          <c:extLst>
            <c:ext xmlns:c16="http://schemas.microsoft.com/office/drawing/2014/chart" uri="{C3380CC4-5D6E-409C-BE32-E72D297353CC}">
              <c16:uniqueId val="{00000003-3B65-4138-BF0A-FCD2B85C609F}"/>
            </c:ext>
          </c:extLst>
        </c:ser>
        <c:ser>
          <c:idx val="3"/>
          <c:order val="3"/>
          <c:tx>
            <c:strRef>
              <c:f>'YPR SSBRPR'!$G$91</c:f>
              <c:strCache>
                <c:ptCount val="1"/>
                <c:pt idx="0">
                  <c:v>F 10%</c:v>
                </c:pt>
              </c:strCache>
            </c:strRef>
          </c:tx>
          <c:spPr>
            <a:ln>
              <a:noFill/>
            </a:ln>
          </c:spPr>
          <c:marker>
            <c:symbol val="circle"/>
            <c:size val="6"/>
          </c:marker>
          <c:dLbls>
            <c:dLbl>
              <c:idx val="0"/>
              <c:layout>
                <c:manualLayout>
                  <c:x val="-4.9379238668991882E-2"/>
                  <c:y val="-4.0686100678093202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3B65-4138-BF0A-FCD2B85C609F}"/>
                </c:ext>
              </c:extLst>
            </c:dLbl>
            <c:spPr>
              <a:noFill/>
              <a:ln>
                <a:noFill/>
              </a:ln>
              <a:effectLst/>
            </c:sp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Lit>
              <c:formatCode>General</c:formatCode>
              <c:ptCount val="1"/>
              <c:pt idx="0">
                <c:v>2</c:v>
              </c:pt>
            </c:numLit>
          </c:xVal>
          <c:yVal>
            <c:numRef>
              <c:f>'YPR SSBRPR'!$H$90:$I$90</c:f>
              <c:numCache>
                <c:formatCode>0.00</c:formatCode>
                <c:ptCount val="2"/>
                <c:pt idx="0">
                  <c:v>94.624351001862493</c:v>
                </c:pt>
              </c:numCache>
            </c:numRef>
          </c:yVal>
          <c:smooth val="0"/>
          <c:extLst>
            <c:ext xmlns:c16="http://schemas.microsoft.com/office/drawing/2014/chart" uri="{C3380CC4-5D6E-409C-BE32-E72D297353CC}">
              <c16:uniqueId val="{00000005-3B65-4138-BF0A-FCD2B85C609F}"/>
            </c:ext>
          </c:extLst>
        </c:ser>
        <c:ser>
          <c:idx val="4"/>
          <c:order val="4"/>
          <c:tx>
            <c:strRef>
              <c:f>'YPR SSBRPR'!$G$89</c:f>
              <c:strCache>
                <c:ptCount val="1"/>
                <c:pt idx="0">
                  <c:v>F 20%</c:v>
                </c:pt>
              </c:strCache>
            </c:strRef>
          </c:tx>
          <c:spPr>
            <a:ln>
              <a:noFill/>
            </a:ln>
          </c:spPr>
          <c:marker>
            <c:symbol val="square"/>
            <c:size val="5"/>
          </c:marker>
          <c:dLbls>
            <c:spPr>
              <a:noFill/>
              <a:ln>
                <a:noFill/>
              </a:ln>
              <a:effectLst/>
            </c:spPr>
            <c:dLblPos val="b"/>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'YPR SSBRPR'!$H$89:$I$89</c:f>
              <c:numCache>
                <c:formatCode>0.00</c:formatCode>
                <c:ptCount val="2"/>
                <c:pt idx="0">
                  <c:v>1.25</c:v>
                </c:pt>
              </c:numCache>
            </c:numRef>
          </c:xVal>
          <c:yVal>
            <c:numRef>
              <c:f>'YPR SSBRPR'!$H$88:$I$88</c:f>
              <c:numCache>
                <c:formatCode>0.00</c:formatCode>
                <c:ptCount val="2"/>
                <c:pt idx="0">
                  <c:v>189.24870200372499</c:v>
                </c:pt>
              </c:numCache>
            </c:numRef>
          </c:yVal>
          <c:smooth val="0"/>
          <c:extLst>
            <c:ext xmlns:c16="http://schemas.microsoft.com/office/drawing/2014/chart" uri="{C3380CC4-5D6E-409C-BE32-E72D297353CC}">
              <c16:uniqueId val="{00000006-3B65-4138-BF0A-FCD2B85C609F}"/>
            </c:ext>
          </c:extLst>
        </c:ser>
        <c:ser>
          <c:idx val="5"/>
          <c:order val="5"/>
          <c:tx>
            <c:strRef>
              <c:f>'YPR SSBRPR'!$G$87</c:f>
              <c:strCache>
                <c:ptCount val="1"/>
                <c:pt idx="0">
                  <c:v>F 30%</c:v>
                </c:pt>
              </c:strCache>
            </c:strRef>
          </c:tx>
          <c:spPr>
            <a:ln>
              <a:solidFill>
                <a:srgbClr val="C0504D"/>
              </a:solidFill>
            </a:ln>
          </c:spPr>
          <c:marker>
            <c:symbol val="triangle"/>
            <c:size val="5"/>
          </c:marker>
          <c:dLbls>
            <c:spPr>
              <a:noFill/>
              <a:ln>
                <a:noFill/>
              </a:ln>
              <a:effectLst/>
            </c:sp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'YPR SSBRPR'!$H$87:$I$87</c:f>
              <c:numCache>
                <c:formatCode>0.00</c:formatCode>
                <c:ptCount val="2"/>
                <c:pt idx="0">
                  <c:v>0.53</c:v>
                </c:pt>
              </c:numCache>
            </c:numRef>
          </c:xVal>
          <c:yVal>
            <c:numRef>
              <c:f>'YPR SSBRPR'!$H$86:$I$86</c:f>
              <c:numCache>
                <c:formatCode>0.00</c:formatCode>
                <c:ptCount val="2"/>
                <c:pt idx="0">
                  <c:v>283.87305300558745</c:v>
                </c:pt>
              </c:numCache>
            </c:numRef>
          </c:yVal>
          <c:smooth val="0"/>
          <c:extLst>
            <c:ext xmlns:c16="http://schemas.microsoft.com/office/drawing/2014/chart" uri="{C3380CC4-5D6E-409C-BE32-E72D297353CC}">
              <c16:uniqueId val="{00000007-3B65-4138-BF0A-FCD2B85C609F}"/>
            </c:ext>
          </c:extLst>
        </c:ser>
        <c:dLbls>
          <c:showLegendKey val="0"/>
          <c:showVal val="0"/>
          <c:showCatName val="0"/>
          <c:showSerName val="0"/>
          <c:showPercent val="0"/>
          <c:showBubbleSize val="0"/>
        </c:dLbls>
        <c:axId val="137012352"/>
        <c:axId val="137002368"/>
      </c:scatterChart>
      <c:valAx>
        <c:axId val="136994176"/>
        <c:scaling>
          <c:orientation val="minMax"/>
          <c:max val="2"/>
        </c:scaling>
        <c:delete val="0"/>
        <c:axPos val="b"/>
        <c:title>
          <c:tx>
            <c:rich>
              <a:bodyPr/>
              <a:lstStyle/>
              <a:p>
                <a:pPr>
                  <a:defRPr/>
                </a:pPr>
                <a:r>
                  <a:rPr lang="en-US"/>
                  <a:t>F (Fishing Mortality)</a:t>
                </a:r>
              </a:p>
            </c:rich>
          </c:tx>
          <c:overlay val="0"/>
        </c:title>
        <c:numFmt formatCode="0.00" sourceLinked="1"/>
        <c:majorTickMark val="out"/>
        <c:minorTickMark val="none"/>
        <c:tickLblPos val="nextTo"/>
        <c:crossAx val="137000448"/>
        <c:crosses val="autoZero"/>
        <c:crossBetween val="midCat"/>
      </c:valAx>
      <c:valAx>
        <c:axId val="137000448"/>
        <c:scaling>
          <c:orientation val="minMax"/>
        </c:scaling>
        <c:delete val="0"/>
        <c:axPos val="l"/>
        <c:title>
          <c:tx>
            <c:rich>
              <a:bodyPr rot="-5400000" vert="horz"/>
              <a:lstStyle/>
              <a:p>
                <a:pPr>
                  <a:defRPr/>
                </a:pPr>
                <a:r>
                  <a:rPr lang="en-US"/>
                  <a:t>YPR</a:t>
                </a:r>
              </a:p>
            </c:rich>
          </c:tx>
          <c:overlay val="0"/>
        </c:title>
        <c:numFmt formatCode="0.00" sourceLinked="1"/>
        <c:majorTickMark val="out"/>
        <c:minorTickMark val="none"/>
        <c:tickLblPos val="nextTo"/>
        <c:crossAx val="136994176"/>
        <c:crosses val="autoZero"/>
        <c:crossBetween val="midCat"/>
      </c:valAx>
      <c:valAx>
        <c:axId val="137002368"/>
        <c:scaling>
          <c:orientation val="minMax"/>
        </c:scaling>
        <c:delete val="0"/>
        <c:axPos val="r"/>
        <c:numFmt formatCode="0.00" sourceLinked="1"/>
        <c:majorTickMark val="out"/>
        <c:minorTickMark val="none"/>
        <c:tickLblPos val="nextTo"/>
        <c:crossAx val="137012352"/>
        <c:crosses val="max"/>
        <c:crossBetween val="midCat"/>
      </c:valAx>
      <c:valAx>
        <c:axId val="137012352"/>
        <c:scaling>
          <c:orientation val="minMax"/>
        </c:scaling>
        <c:delete val="1"/>
        <c:axPos val="b"/>
        <c:numFmt formatCode="0.00" sourceLinked="1"/>
        <c:majorTickMark val="out"/>
        <c:minorTickMark val="none"/>
        <c:tickLblPos val="none"/>
        <c:crossAx val="137002368"/>
        <c:crosses val="autoZero"/>
        <c:crossBetween val="midCat"/>
      </c:valAx>
    </c:plotArea>
    <c:legend>
      <c:legendPos val="r"/>
      <c:overlay val="0"/>
    </c:legend>
    <c:plotVisOnly val="1"/>
    <c:dispBlanksAs val="gap"/>
    <c:showDLblsOverMax val="0"/>
  </c:chart>
  <c:printSettings>
    <c:headerFooter/>
    <c:pageMargins b="0.75000000000000167" l="0.70000000000000062" r="0.70000000000000062" t="0.75000000000000167"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Mean</a:t>
            </a:r>
            <a:r>
              <a:rPr lang="en-US" baseline="0"/>
              <a:t> l</a:t>
            </a:r>
            <a:r>
              <a:rPr lang="en-US"/>
              <a:t>ength at age</a:t>
            </a:r>
          </a:p>
        </c:rich>
      </c:tx>
      <c:layout>
        <c:manualLayout>
          <c:xMode val="edge"/>
          <c:yMode val="edge"/>
          <c:x val="0.33608333333333407"/>
          <c:y val="2.6845637583892731E-2"/>
        </c:manualLayout>
      </c:layout>
      <c:overlay val="0"/>
    </c:title>
    <c:autoTitleDeleted val="0"/>
    <c:plotArea>
      <c:layout>
        <c:manualLayout>
          <c:layoutTarget val="inner"/>
          <c:xMode val="edge"/>
          <c:yMode val="edge"/>
          <c:x val="0.12414129483814523"/>
          <c:y val="0.15453504553541564"/>
          <c:w val="0.83956014873140816"/>
          <c:h val="0.69087882471066953"/>
        </c:manualLayout>
      </c:layout>
      <c:scatterChart>
        <c:scatterStyle val="lineMarker"/>
        <c:varyColors val="0"/>
        <c:ser>
          <c:idx val="0"/>
          <c:order val="0"/>
          <c:tx>
            <c:v>Obs Mean</c:v>
          </c:tx>
          <c:spPr>
            <a:ln>
              <a:noFill/>
            </a:ln>
          </c:spPr>
          <c:xVal>
            <c:numRef>
              <c:f>'VonBert Means'!$B$21:$B$34</c:f>
              <c:numCache>
                <c:formatCode>General</c:formatCode>
                <c:ptCount val="14"/>
                <c:pt idx="0">
                  <c:v>0</c:v>
                </c:pt>
                <c:pt idx="1">
                  <c:v>1</c:v>
                </c:pt>
                <c:pt idx="2">
                  <c:v>2</c:v>
                </c:pt>
                <c:pt idx="3">
                  <c:v>3</c:v>
                </c:pt>
                <c:pt idx="4">
                  <c:v>4</c:v>
                </c:pt>
                <c:pt idx="5">
                  <c:v>5</c:v>
                </c:pt>
                <c:pt idx="6">
                  <c:v>6</c:v>
                </c:pt>
                <c:pt idx="7">
                  <c:v>7</c:v>
                </c:pt>
                <c:pt idx="8">
                  <c:v>8</c:v>
                </c:pt>
                <c:pt idx="9">
                  <c:v>9</c:v>
                </c:pt>
                <c:pt idx="10">
                  <c:v>10</c:v>
                </c:pt>
                <c:pt idx="11">
                  <c:v>11</c:v>
                </c:pt>
                <c:pt idx="12">
                  <c:v>12</c:v>
                </c:pt>
                <c:pt idx="13">
                  <c:v>13</c:v>
                </c:pt>
              </c:numCache>
            </c:numRef>
          </c:xVal>
          <c:yVal>
            <c:numRef>
              <c:f>'VonBert Means'!$C$21:$C$34</c:f>
              <c:numCache>
                <c:formatCode>General</c:formatCode>
                <c:ptCount val="14"/>
                <c:pt idx="0">
                  <c:v>4.0999999999999996</c:v>
                </c:pt>
                <c:pt idx="1">
                  <c:v>10.6</c:v>
                </c:pt>
                <c:pt idx="2">
                  <c:v>17.600000000000001</c:v>
                </c:pt>
                <c:pt idx="3">
                  <c:v>21.5</c:v>
                </c:pt>
                <c:pt idx="4">
                  <c:v>25.4</c:v>
                </c:pt>
                <c:pt idx="5">
                  <c:v>26.7</c:v>
                </c:pt>
                <c:pt idx="6">
                  <c:v>28.2</c:v>
                </c:pt>
                <c:pt idx="7">
                  <c:v>30.1</c:v>
                </c:pt>
                <c:pt idx="8">
                  <c:v>31.8</c:v>
                </c:pt>
                <c:pt idx="9">
                  <c:v>33.4</c:v>
                </c:pt>
                <c:pt idx="10">
                  <c:v>34.6</c:v>
                </c:pt>
                <c:pt idx="11">
                  <c:v>35.5</c:v>
                </c:pt>
                <c:pt idx="12">
                  <c:v>36.299999999999997</c:v>
                </c:pt>
                <c:pt idx="13">
                  <c:v>36.700000000000003</c:v>
                </c:pt>
              </c:numCache>
            </c:numRef>
          </c:yVal>
          <c:smooth val="0"/>
          <c:extLst>
            <c:ext xmlns:c16="http://schemas.microsoft.com/office/drawing/2014/chart" uri="{C3380CC4-5D6E-409C-BE32-E72D297353CC}">
              <c16:uniqueId val="{00000000-D6EC-4BF1-B15A-0618FCA89CD4}"/>
            </c:ext>
          </c:extLst>
        </c:ser>
        <c:ser>
          <c:idx val="1"/>
          <c:order val="1"/>
          <c:tx>
            <c:v>Predicted</c:v>
          </c:tx>
          <c:marker>
            <c:symbol val="none"/>
          </c:marker>
          <c:xVal>
            <c:numRef>
              <c:f>'VonBert Means'!$H$21:$H$37</c:f>
              <c:numCache>
                <c:formatCode>General</c:formatCode>
                <c:ptCount val="17"/>
                <c:pt idx="0">
                  <c:v>-0.7</c:v>
                </c:pt>
                <c:pt idx="1">
                  <c:v>-0.5</c:v>
                </c:pt>
                <c:pt idx="2">
                  <c:v>0</c:v>
                </c:pt>
                <c:pt idx="3">
                  <c:v>1</c:v>
                </c:pt>
                <c:pt idx="4">
                  <c:v>2</c:v>
                </c:pt>
                <c:pt idx="5">
                  <c:v>3</c:v>
                </c:pt>
                <c:pt idx="6">
                  <c:v>4</c:v>
                </c:pt>
                <c:pt idx="7">
                  <c:v>5</c:v>
                </c:pt>
                <c:pt idx="8">
                  <c:v>6</c:v>
                </c:pt>
                <c:pt idx="9">
                  <c:v>7</c:v>
                </c:pt>
                <c:pt idx="10">
                  <c:v>8</c:v>
                </c:pt>
                <c:pt idx="11">
                  <c:v>9</c:v>
                </c:pt>
                <c:pt idx="12">
                  <c:v>10</c:v>
                </c:pt>
                <c:pt idx="13">
                  <c:v>11</c:v>
                </c:pt>
                <c:pt idx="14">
                  <c:v>12</c:v>
                </c:pt>
                <c:pt idx="15">
                  <c:v>13</c:v>
                </c:pt>
                <c:pt idx="16">
                  <c:v>14</c:v>
                </c:pt>
              </c:numCache>
            </c:numRef>
          </c:xVal>
          <c:yVal>
            <c:numRef>
              <c:f>'VonBert Means'!$I$21:$I$37</c:f>
              <c:numCache>
                <c:formatCode>General</c:formatCode>
                <c:ptCount val="17"/>
                <c:pt idx="0">
                  <c:v>-1.2495807361933784</c:v>
                </c:pt>
                <c:pt idx="1">
                  <c:v>0.46797345062080714</c:v>
                </c:pt>
                <c:pt idx="2">
                  <c:v>4.4409762788491642</c:v>
                </c:pt>
                <c:pt idx="3">
                  <c:v>11.172865401791277</c:v>
                </c:pt>
                <c:pt idx="4">
                  <c:v>16.558295296584355</c:v>
                </c:pt>
                <c:pt idx="5">
                  <c:v>20.866574090554675</c:v>
                </c:pt>
                <c:pt idx="6">
                  <c:v>24.313145029027091</c:v>
                </c:pt>
                <c:pt idx="7">
                  <c:v>27.070360103071909</c:v>
                </c:pt>
                <c:pt idx="8">
                  <c:v>29.276098821425247</c:v>
                </c:pt>
                <c:pt idx="9">
                  <c:v>31.040663123805064</c:v>
                </c:pt>
                <c:pt idx="10">
                  <c:v>32.452293228189163</c:v>
                </c:pt>
                <c:pt idx="11">
                  <c:v>33.581580241938653</c:v>
                </c:pt>
                <c:pt idx="12">
                  <c:v>34.484996197338432</c:v>
                </c:pt>
                <c:pt idx="13">
                  <c:v>35.207718037343533</c:v>
                </c:pt>
                <c:pt idx="14">
                  <c:v>35.785886770027929</c:v>
                </c:pt>
                <c:pt idx="15">
                  <c:v>36.24841476482537</c:v>
                </c:pt>
                <c:pt idx="16">
                  <c:v>36.618431567667812</c:v>
                </c:pt>
              </c:numCache>
            </c:numRef>
          </c:yVal>
          <c:smooth val="0"/>
          <c:extLst>
            <c:ext xmlns:c16="http://schemas.microsoft.com/office/drawing/2014/chart" uri="{C3380CC4-5D6E-409C-BE32-E72D297353CC}">
              <c16:uniqueId val="{00000001-D6EC-4BF1-B15A-0618FCA89CD4}"/>
            </c:ext>
          </c:extLst>
        </c:ser>
        <c:dLbls>
          <c:showLegendKey val="0"/>
          <c:showVal val="0"/>
          <c:showCatName val="0"/>
          <c:showSerName val="0"/>
          <c:showPercent val="0"/>
          <c:showBubbleSize val="0"/>
        </c:dLbls>
        <c:axId val="137217920"/>
        <c:axId val="137101312"/>
      </c:scatterChart>
      <c:valAx>
        <c:axId val="137217920"/>
        <c:scaling>
          <c:orientation val="minMax"/>
          <c:min val="-1"/>
        </c:scaling>
        <c:delete val="0"/>
        <c:axPos val="b"/>
        <c:title>
          <c:tx>
            <c:rich>
              <a:bodyPr/>
              <a:lstStyle/>
              <a:p>
                <a:pPr>
                  <a:defRPr sz="1100"/>
                </a:pPr>
                <a:r>
                  <a:rPr lang="en-US" sz="1100"/>
                  <a:t>Age (years)</a:t>
                </a:r>
              </a:p>
            </c:rich>
          </c:tx>
          <c:overlay val="0"/>
        </c:title>
        <c:numFmt formatCode="General" sourceLinked="1"/>
        <c:majorTickMark val="out"/>
        <c:minorTickMark val="none"/>
        <c:tickLblPos val="nextTo"/>
        <c:crossAx val="137101312"/>
        <c:crosses val="autoZero"/>
        <c:crossBetween val="midCat"/>
      </c:valAx>
      <c:valAx>
        <c:axId val="137101312"/>
        <c:scaling>
          <c:orientation val="minMax"/>
        </c:scaling>
        <c:delete val="0"/>
        <c:axPos val="l"/>
        <c:title>
          <c:tx>
            <c:rich>
              <a:bodyPr rot="-5400000" vert="horz"/>
              <a:lstStyle/>
              <a:p>
                <a:pPr algn="ctr" rtl="0">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Length (cm)</a:t>
                </a:r>
              </a:p>
            </c:rich>
          </c:tx>
          <c:overlay val="0"/>
        </c:title>
        <c:numFmt formatCode="General" sourceLinked="1"/>
        <c:majorTickMark val="out"/>
        <c:minorTickMark val="none"/>
        <c:tickLblPos val="nextTo"/>
        <c:crossAx val="137217920"/>
        <c:crossesAt val="-1"/>
        <c:crossBetween val="midCat"/>
      </c:valAx>
    </c:plotArea>
    <c:legend>
      <c:legendPos val="r"/>
      <c:overlay val="0"/>
    </c:legend>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Weight at age</a:t>
            </a:r>
          </a:p>
        </c:rich>
      </c:tx>
      <c:layout>
        <c:manualLayout>
          <c:xMode val="edge"/>
          <c:yMode val="edge"/>
          <c:x val="0.39054155730533691"/>
          <c:y val="2.6666666666666672E-2"/>
        </c:manualLayout>
      </c:layout>
      <c:overlay val="0"/>
    </c:title>
    <c:autoTitleDeleted val="0"/>
    <c:plotArea>
      <c:layout>
        <c:manualLayout>
          <c:layoutTarget val="inner"/>
          <c:xMode val="edge"/>
          <c:yMode val="edge"/>
          <c:x val="0.14876618547681558"/>
          <c:y val="0.16478915135608049"/>
          <c:w val="0.82049081364829501"/>
          <c:h val="0.64105126859142658"/>
        </c:manualLayout>
      </c:layout>
      <c:scatterChart>
        <c:scatterStyle val="lineMarker"/>
        <c:varyColors val="0"/>
        <c:ser>
          <c:idx val="0"/>
          <c:order val="0"/>
          <c:tx>
            <c:v>Obs Mean</c:v>
          </c:tx>
          <c:spPr>
            <a:ln>
              <a:noFill/>
            </a:ln>
          </c:spPr>
          <c:xVal>
            <c:numRef>
              <c:f>Length_Weight!$B$21:$B$34</c:f>
              <c:numCache>
                <c:formatCode>General</c:formatCode>
                <c:ptCount val="14"/>
                <c:pt idx="0">
                  <c:v>4.0999999999999996</c:v>
                </c:pt>
                <c:pt idx="1">
                  <c:v>10.6</c:v>
                </c:pt>
                <c:pt idx="2">
                  <c:v>17.600000000000001</c:v>
                </c:pt>
                <c:pt idx="3">
                  <c:v>21.5</c:v>
                </c:pt>
                <c:pt idx="4">
                  <c:v>25.4</c:v>
                </c:pt>
                <c:pt idx="5">
                  <c:v>26.7</c:v>
                </c:pt>
                <c:pt idx="6">
                  <c:v>28.2</c:v>
                </c:pt>
                <c:pt idx="7">
                  <c:v>30.1</c:v>
                </c:pt>
                <c:pt idx="8">
                  <c:v>31.8</c:v>
                </c:pt>
                <c:pt idx="9">
                  <c:v>33.4</c:v>
                </c:pt>
                <c:pt idx="10">
                  <c:v>34.6</c:v>
                </c:pt>
                <c:pt idx="11">
                  <c:v>35.5</c:v>
                </c:pt>
                <c:pt idx="12">
                  <c:v>36.299999999999997</c:v>
                </c:pt>
                <c:pt idx="13">
                  <c:v>36.700000000000003</c:v>
                </c:pt>
              </c:numCache>
            </c:numRef>
          </c:xVal>
          <c:yVal>
            <c:numRef>
              <c:f>Length_Weight!$C$21:$C$34</c:f>
              <c:numCache>
                <c:formatCode>General</c:formatCode>
                <c:ptCount val="14"/>
                <c:pt idx="0">
                  <c:v>46.8</c:v>
                </c:pt>
                <c:pt idx="1">
                  <c:v>60.2</c:v>
                </c:pt>
                <c:pt idx="2">
                  <c:v>183.7</c:v>
                </c:pt>
                <c:pt idx="3">
                  <c:v>278.7</c:v>
                </c:pt>
                <c:pt idx="4">
                  <c:v>368.7</c:v>
                </c:pt>
                <c:pt idx="5">
                  <c:v>425.9</c:v>
                </c:pt>
                <c:pt idx="6">
                  <c:v>490.3</c:v>
                </c:pt>
                <c:pt idx="7">
                  <c:v>589.9</c:v>
                </c:pt>
                <c:pt idx="8">
                  <c:v>683.2</c:v>
                </c:pt>
                <c:pt idx="9">
                  <c:v>780.8</c:v>
                </c:pt>
                <c:pt idx="10">
                  <c:v>861.5</c:v>
                </c:pt>
                <c:pt idx="11">
                  <c:v>920.9</c:v>
                </c:pt>
                <c:pt idx="12">
                  <c:v>980.7</c:v>
                </c:pt>
                <c:pt idx="13">
                  <c:v>1005.8</c:v>
                </c:pt>
              </c:numCache>
            </c:numRef>
          </c:yVal>
          <c:smooth val="0"/>
          <c:extLst>
            <c:ext xmlns:c16="http://schemas.microsoft.com/office/drawing/2014/chart" uri="{C3380CC4-5D6E-409C-BE32-E72D297353CC}">
              <c16:uniqueId val="{00000000-F65D-47F1-8473-ACDF3686CF31}"/>
            </c:ext>
          </c:extLst>
        </c:ser>
        <c:ser>
          <c:idx val="1"/>
          <c:order val="1"/>
          <c:tx>
            <c:v>Predicted</c:v>
          </c:tx>
          <c:marker>
            <c:symbol val="none"/>
          </c:marker>
          <c:xVal>
            <c:numRef>
              <c:f>Length_Weight!$G$21:$G$40</c:f>
              <c:numCache>
                <c:formatCode>General</c:formatCode>
                <c:ptCount val="20"/>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pt idx="18">
                  <c:v>36</c:v>
                </c:pt>
                <c:pt idx="19">
                  <c:v>38</c:v>
                </c:pt>
              </c:numCache>
            </c:numRef>
          </c:xVal>
          <c:yVal>
            <c:numRef>
              <c:f>Length_Weight!$H$21:$H$40</c:f>
              <c:numCache>
                <c:formatCode>General</c:formatCode>
                <c:ptCount val="20"/>
                <c:pt idx="0">
                  <c:v>0</c:v>
                </c:pt>
                <c:pt idx="1">
                  <c:v>0.55735499701644708</c:v>
                </c:pt>
                <c:pt idx="2">
                  <c:v>3.3202454856033805</c:v>
                </c:pt>
                <c:pt idx="3">
                  <c:v>9.430582842929855</c:v>
                </c:pt>
                <c:pt idx="4">
                  <c:v>19.779189463953653</c:v>
                </c:pt>
                <c:pt idx="5">
                  <c:v>35.132988421302379</c:v>
                </c:pt>
                <c:pt idx="6">
                  <c:v>56.179365536257279</c:v>
                </c:pt>
                <c:pt idx="7">
                  <c:v>83.548657028049561</c:v>
                </c:pt>
                <c:pt idx="8">
                  <c:v>117.82753339995287</c:v>
                </c:pt>
                <c:pt idx="9">
                  <c:v>159.56776782022558</c:v>
                </c:pt>
                <c:pt idx="10">
                  <c:v>209.29236631235008</c:v>
                </c:pt>
                <c:pt idx="11">
                  <c:v>267.50006073150143</c:v>
                </c:pt>
                <c:pt idx="12">
                  <c:v>334.66872245574569</c:v>
                </c:pt>
                <c:pt idx="13">
                  <c:v>411.25803076311388</c:v>
                </c:pt>
                <c:pt idx="14">
                  <c:v>497.71160716339773</c:v>
                </c:pt>
                <c:pt idx="15">
                  <c:v>594.45875537204586</c:v>
                </c:pt>
                <c:pt idx="16">
                  <c:v>701.91590269250037</c:v>
                </c:pt>
                <c:pt idx="17">
                  <c:v>820.48781048036733</c:v>
                </c:pt>
                <c:pt idx="18">
                  <c:v>950.56860275584495</c:v>
                </c:pt>
                <c:pt idx="19">
                  <c:v>1092.5426493351829</c:v>
                </c:pt>
              </c:numCache>
            </c:numRef>
          </c:yVal>
          <c:smooth val="0"/>
          <c:extLst>
            <c:ext xmlns:c16="http://schemas.microsoft.com/office/drawing/2014/chart" uri="{C3380CC4-5D6E-409C-BE32-E72D297353CC}">
              <c16:uniqueId val="{00000001-F65D-47F1-8473-ACDF3686CF31}"/>
            </c:ext>
          </c:extLst>
        </c:ser>
        <c:dLbls>
          <c:showLegendKey val="0"/>
          <c:showVal val="0"/>
          <c:showCatName val="0"/>
          <c:showSerName val="0"/>
          <c:showPercent val="0"/>
          <c:showBubbleSize val="0"/>
        </c:dLbls>
        <c:axId val="137130752"/>
        <c:axId val="137132672"/>
      </c:scatterChart>
      <c:valAx>
        <c:axId val="137130752"/>
        <c:scaling>
          <c:orientation val="minMax"/>
        </c:scaling>
        <c:delete val="0"/>
        <c:axPos val="b"/>
        <c:title>
          <c:tx>
            <c:rich>
              <a:bodyPr/>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Age (years)</a:t>
                </a:r>
              </a:p>
            </c:rich>
          </c:tx>
          <c:overlay val="0"/>
        </c:title>
        <c:numFmt formatCode="General" sourceLinked="1"/>
        <c:majorTickMark val="out"/>
        <c:minorTickMark val="none"/>
        <c:tickLblPos val="nextTo"/>
        <c:crossAx val="137132672"/>
        <c:crosses val="autoZero"/>
        <c:crossBetween val="midCat"/>
      </c:valAx>
      <c:valAx>
        <c:axId val="137132672"/>
        <c:scaling>
          <c:orientation val="minMax"/>
        </c:scaling>
        <c:delete val="0"/>
        <c:axPos val="l"/>
        <c:title>
          <c:tx>
            <c:rich>
              <a:bodyPr rot="-5400000" vert="horz"/>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Weight (kg)</a:t>
                </a:r>
              </a:p>
            </c:rich>
          </c:tx>
          <c:overlay val="0"/>
        </c:title>
        <c:numFmt formatCode="General" sourceLinked="1"/>
        <c:majorTickMark val="out"/>
        <c:minorTickMark val="none"/>
        <c:tickLblPos val="nextTo"/>
        <c:crossAx val="137130752"/>
        <c:crosses val="autoZero"/>
        <c:crossBetween val="midCat"/>
      </c:valAx>
    </c:plotArea>
    <c:legend>
      <c:legendPos val="r"/>
      <c:layout>
        <c:manualLayout>
          <c:xMode val="edge"/>
          <c:yMode val="edge"/>
          <c:x val="0.76773600174978163"/>
          <c:y val="0.54179807524059576"/>
          <c:w val="0.19893066491688535"/>
          <c:h val="0.16073700787401574"/>
        </c:manualLayout>
      </c:layout>
      <c:overlay val="0"/>
    </c:legend>
    <c:plotVisOnly val="1"/>
    <c:dispBlanksAs val="gap"/>
    <c:showDLblsOverMax val="0"/>
  </c:chart>
  <c:printSettings>
    <c:headerFooter/>
    <c:pageMargins b="0.75000000000000167" l="0.70000000000000062" r="0.70000000000000062" t="0.75000000000000167"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Percent mature at length</a:t>
            </a:r>
          </a:p>
        </c:rich>
      </c:tx>
      <c:overlay val="0"/>
    </c:title>
    <c:autoTitleDeleted val="0"/>
    <c:plotArea>
      <c:layout>
        <c:manualLayout>
          <c:layoutTarget val="inner"/>
          <c:xMode val="edge"/>
          <c:yMode val="edge"/>
          <c:x val="0.16214107611548556"/>
          <c:y val="0.17628499562554681"/>
          <c:w val="0.80156036745406778"/>
          <c:h val="0.55097951297754488"/>
        </c:manualLayout>
      </c:layout>
      <c:scatterChart>
        <c:scatterStyle val="lineMarker"/>
        <c:varyColors val="0"/>
        <c:ser>
          <c:idx val="1"/>
          <c:order val="0"/>
          <c:tx>
            <c:v>Obs</c:v>
          </c:tx>
          <c:spPr>
            <a:ln>
              <a:noFill/>
            </a:ln>
          </c:spPr>
          <c:marker>
            <c:symbol val="diamond"/>
            <c:size val="7"/>
            <c:spPr>
              <a:solidFill>
                <a:schemeClr val="accent1"/>
              </a:solidFill>
              <a:ln>
                <a:solidFill>
                  <a:schemeClr val="accent1"/>
                </a:solidFill>
              </a:ln>
            </c:spPr>
          </c:marker>
          <c:xVal>
            <c:numRef>
              <c:f>'Maturity Prob Length'!$B$22:$B$32</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'Maturity Prob Length'!$C$22:$C$32</c:f>
              <c:numCache>
                <c:formatCode>0.00</c:formatCode>
                <c:ptCount val="11"/>
                <c:pt idx="0">
                  <c:v>0</c:v>
                </c:pt>
                <c:pt idx="1">
                  <c:v>0.05</c:v>
                </c:pt>
                <c:pt idx="2">
                  <c:v>0.08</c:v>
                </c:pt>
                <c:pt idx="3">
                  <c:v>0.1</c:v>
                </c:pt>
                <c:pt idx="4">
                  <c:v>0.2</c:v>
                </c:pt>
                <c:pt idx="5">
                  <c:v>0.39</c:v>
                </c:pt>
                <c:pt idx="6">
                  <c:v>0.6</c:v>
                </c:pt>
                <c:pt idx="7">
                  <c:v>0.78</c:v>
                </c:pt>
                <c:pt idx="8">
                  <c:v>0.9</c:v>
                </c:pt>
                <c:pt idx="9">
                  <c:v>0.95</c:v>
                </c:pt>
                <c:pt idx="10">
                  <c:v>0.99</c:v>
                </c:pt>
              </c:numCache>
            </c:numRef>
          </c:yVal>
          <c:smooth val="0"/>
          <c:extLst>
            <c:ext xmlns:c16="http://schemas.microsoft.com/office/drawing/2014/chart" uri="{C3380CC4-5D6E-409C-BE32-E72D297353CC}">
              <c16:uniqueId val="{00000000-DBF8-46F3-8973-5DE0B74554F5}"/>
            </c:ext>
          </c:extLst>
        </c:ser>
        <c:ser>
          <c:idx val="0"/>
          <c:order val="1"/>
          <c:tx>
            <c:v>Pred</c:v>
          </c:tx>
          <c:spPr>
            <a:ln>
              <a:solidFill>
                <a:schemeClr val="accent2"/>
              </a:solidFill>
            </a:ln>
          </c:spPr>
          <c:marker>
            <c:symbol val="none"/>
          </c:marker>
          <c:xVal>
            <c:numRef>
              <c:f>'Maturity Prob Length'!$G$22:$G$48</c:f>
              <c:numCache>
                <c:formatCode>General</c:formatCode>
                <c:ptCount val="27"/>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pt idx="19">
                  <c:v>24</c:v>
                </c:pt>
                <c:pt idx="20">
                  <c:v>25</c:v>
                </c:pt>
                <c:pt idx="21">
                  <c:v>26</c:v>
                </c:pt>
                <c:pt idx="22">
                  <c:v>27</c:v>
                </c:pt>
                <c:pt idx="23">
                  <c:v>28</c:v>
                </c:pt>
                <c:pt idx="24">
                  <c:v>29</c:v>
                </c:pt>
                <c:pt idx="25">
                  <c:v>29</c:v>
                </c:pt>
                <c:pt idx="26">
                  <c:v>29</c:v>
                </c:pt>
              </c:numCache>
            </c:numRef>
          </c:xVal>
          <c:yVal>
            <c:numRef>
              <c:f>'Maturity Prob Length'!$H$22:$H$48</c:f>
              <c:numCache>
                <c:formatCode>0.0000</c:formatCode>
                <c:ptCount val="27"/>
                <c:pt idx="0">
                  <c:v>1.2556176300955449E-4</c:v>
                </c:pt>
                <c:pt idx="1">
                  <c:v>2.9480737451410301E-4</c:v>
                </c:pt>
                <c:pt idx="2">
                  <c:v>6.9202248479655211E-4</c:v>
                </c:pt>
                <c:pt idx="3">
                  <c:v>1.6235648070518124E-3</c:v>
                </c:pt>
                <c:pt idx="4">
                  <c:v>3.8042971078672536E-3</c:v>
                </c:pt>
                <c:pt idx="5">
                  <c:v>8.8880589746166434E-3</c:v>
                </c:pt>
                <c:pt idx="6">
                  <c:v>2.0624708448482805E-2</c:v>
                </c:pt>
                <c:pt idx="7">
                  <c:v>4.7122694377809048E-2</c:v>
                </c:pt>
                <c:pt idx="8">
                  <c:v>0.10404769809084223</c:v>
                </c:pt>
                <c:pt idx="9">
                  <c:v>0.21427543058723134</c:v>
                </c:pt>
                <c:pt idx="10">
                  <c:v>0.3903954233037234</c:v>
                </c:pt>
                <c:pt idx="11">
                  <c:v>0.60061860689133584</c:v>
                </c:pt>
                <c:pt idx="12">
                  <c:v>0.77932497536355305</c:v>
                </c:pt>
                <c:pt idx="13">
                  <c:v>0.89239393651348398</c:v>
                </c:pt>
                <c:pt idx="14">
                  <c:v>0.95115961489230916</c:v>
                </c:pt>
                <c:pt idx="15">
                  <c:v>0.97860180051829249</c:v>
                </c:pt>
                <c:pt idx="16">
                  <c:v>0.99077446479645115</c:v>
                </c:pt>
                <c:pt idx="17">
                  <c:v>0.99605048596797419</c:v>
                </c:pt>
                <c:pt idx="18">
                  <c:v>0.99831431992192754</c:v>
                </c:pt>
                <c:pt idx="19">
                  <c:v>0.99928147607370121</c:v>
                </c:pt>
                <c:pt idx="20">
                  <c:v>0.99969389812991938</c:v>
                </c:pt>
                <c:pt idx="21">
                  <c:v>0.99986962693922266</c:v>
                </c:pt>
                <c:pt idx="22">
                  <c:v>0.99994447789590335</c:v>
                </c:pt>
                <c:pt idx="23">
                  <c:v>0.99997635576293964</c:v>
                </c:pt>
                <c:pt idx="24">
                  <c:v>0.99998993122247781</c:v>
                </c:pt>
                <c:pt idx="25">
                  <c:v>0.99998993122247781</c:v>
                </c:pt>
                <c:pt idx="26">
                  <c:v>0.99998993122247781</c:v>
                </c:pt>
              </c:numCache>
            </c:numRef>
          </c:yVal>
          <c:smooth val="0"/>
          <c:extLst>
            <c:ext xmlns:c16="http://schemas.microsoft.com/office/drawing/2014/chart" uri="{C3380CC4-5D6E-409C-BE32-E72D297353CC}">
              <c16:uniqueId val="{00000001-DBF8-46F3-8973-5DE0B74554F5}"/>
            </c:ext>
          </c:extLst>
        </c:ser>
        <c:dLbls>
          <c:showLegendKey val="0"/>
          <c:showVal val="0"/>
          <c:showCatName val="0"/>
          <c:showSerName val="0"/>
          <c:showPercent val="0"/>
          <c:showBubbleSize val="0"/>
        </c:dLbls>
        <c:axId val="137158016"/>
        <c:axId val="137307648"/>
      </c:scatterChart>
      <c:valAx>
        <c:axId val="137158016"/>
        <c:scaling>
          <c:orientation val="minMax"/>
          <c:max val="25"/>
          <c:min val="5"/>
        </c:scaling>
        <c:delete val="0"/>
        <c:axPos val="b"/>
        <c:title>
          <c:tx>
            <c:rich>
              <a:bodyPr/>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Length (cm)</a:t>
                </a:r>
              </a:p>
            </c:rich>
          </c:tx>
          <c:overlay val="0"/>
        </c:title>
        <c:numFmt formatCode="General" sourceLinked="1"/>
        <c:majorTickMark val="out"/>
        <c:minorTickMark val="none"/>
        <c:tickLblPos val="nextTo"/>
        <c:crossAx val="137307648"/>
        <c:crosses val="autoZero"/>
        <c:crossBetween val="midCat"/>
      </c:valAx>
      <c:valAx>
        <c:axId val="137307648"/>
        <c:scaling>
          <c:orientation val="minMax"/>
          <c:max val="1"/>
        </c:scaling>
        <c:delete val="0"/>
        <c:axPos val="l"/>
        <c:title>
          <c:tx>
            <c:rich>
              <a:bodyPr rot="-5400000" vert="horz"/>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Percent mature</a:t>
                </a:r>
              </a:p>
            </c:rich>
          </c:tx>
          <c:overlay val="0"/>
        </c:title>
        <c:numFmt formatCode="0.0" sourceLinked="0"/>
        <c:majorTickMark val="out"/>
        <c:minorTickMark val="none"/>
        <c:tickLblPos val="nextTo"/>
        <c:crossAx val="137158016"/>
        <c:crosses val="autoZero"/>
        <c:crossBetween val="midCat"/>
      </c:valAx>
    </c:plotArea>
    <c:legend>
      <c:legendPos val="r"/>
      <c:layout>
        <c:manualLayout>
          <c:xMode val="edge"/>
          <c:yMode val="edge"/>
          <c:x val="0.78644444444444461"/>
          <c:y val="0.52855993168481763"/>
          <c:w val="0.13577777777777778"/>
          <c:h val="0.16127453321235852"/>
        </c:manualLayout>
      </c:layout>
      <c:overlay val="0"/>
    </c:legend>
    <c:plotVisOnly val="1"/>
    <c:dispBlanksAs val="gap"/>
    <c:showDLblsOverMax val="0"/>
  </c:chart>
  <c:printSettings>
    <c:headerFooter/>
    <c:pageMargins b="0.75000000000000167" l="0.70000000000000062" r="0.70000000000000062" t="0.75000000000000167"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Cohort numbers at age</a:t>
            </a:r>
          </a:p>
        </c:rich>
      </c:tx>
      <c:overlay val="0"/>
    </c:title>
    <c:autoTitleDeleted val="0"/>
    <c:plotArea>
      <c:layout/>
      <c:scatterChart>
        <c:scatterStyle val="lineMarker"/>
        <c:varyColors val="0"/>
        <c:ser>
          <c:idx val="0"/>
          <c:order val="0"/>
          <c:spPr>
            <a:ln w="28575">
              <a:solidFill>
                <a:schemeClr val="accent1"/>
              </a:solidFill>
            </a:ln>
          </c:spPr>
          <c:marker>
            <c:symbol val="none"/>
          </c:marker>
          <c:xVal>
            <c:numRef>
              <c:f>'YPR SSBRPR'!$A$19:$A$59</c:f>
              <c:numCache>
                <c:formatCode>General</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xVal>
          <c:yVal>
            <c:numRef>
              <c:f>'YPR SSBRPR'!$E$19:$E$59</c:f>
              <c:numCache>
                <c:formatCode>0_)</c:formatCode>
                <c:ptCount val="41"/>
                <c:pt idx="0">
                  <c:v>1000</c:v>
                </c:pt>
                <c:pt idx="1">
                  <c:v>756.24154632663544</c:v>
                </c:pt>
                <c:pt idx="2">
                  <c:v>571.9012763905007</c:v>
                </c:pt>
                <c:pt idx="3">
                  <c:v>432.49550560372882</c:v>
                </c:pt>
                <c:pt idx="4">
                  <c:v>327.07106993708391</c:v>
                </c:pt>
                <c:pt idx="5">
                  <c:v>247.34473168792744</c:v>
                </c:pt>
                <c:pt idx="6">
                  <c:v>187.05236236742502</c:v>
                </c:pt>
                <c:pt idx="7">
                  <c:v>141.45676776079165</c:v>
                </c:pt>
                <c:pt idx="8">
                  <c:v>106.97548478978881</c:v>
                </c:pt>
                <c:pt idx="9">
                  <c:v>80.899306036471359</c:v>
                </c:pt>
                <c:pt idx="10">
                  <c:v>61.179416293772803</c:v>
                </c:pt>
                <c:pt idx="11">
                  <c:v>46.266416381363719</c:v>
                </c:pt>
                <c:pt idx="12">
                  <c:v>34.988586267234474</c:v>
                </c:pt>
                <c:pt idx="13">
                  <c:v>26.459822582516274</c:v>
                </c:pt>
                <c:pt idx="14">
                  <c:v>20.01001714533054</c:v>
                </c:pt>
                <c:pt idx="15">
                  <c:v>15.13240630800725</c:v>
                </c:pt>
                <c:pt idx="16">
                  <c:v>11.443754346010337</c:v>
                </c:pt>
                <c:pt idx="17">
                  <c:v>8.6542424824090158</c:v>
                </c:pt>
                <c:pt idx="18">
                  <c:v>6.5446977171826504</c:v>
                </c:pt>
                <c:pt idx="19">
                  <c:v>4.9493723218826107</c:v>
                </c:pt>
                <c:pt idx="20">
                  <c:v>3.7429209780467532</c:v>
                </c:pt>
                <c:pt idx="21">
                  <c:v>2.8305523482164805</c:v>
                </c:pt>
                <c:pt idx="22">
                  <c:v>2.1405812847737211</c:v>
                </c:pt>
                <c:pt idx="23">
                  <c:v>1.6187965008351337</c:v>
                </c:pt>
                <c:pt idx="24">
                  <c:v>1.2242011689797085</c:v>
                </c:pt>
                <c:pt idx="25">
                  <c:v>0.92579178504408988</c:v>
                </c:pt>
                <c:pt idx="26">
                  <c:v>0.70012221109823813</c:v>
                </c:pt>
                <c:pt idx="27">
                  <c:v>0.52946150353855492</c:v>
                </c:pt>
                <c:pt idx="28">
                  <c:v>0.40040078615642227</c:v>
                </c:pt>
                <c:pt idx="29">
                  <c:v>0.30279970967333308</c:v>
                </c:pt>
                <c:pt idx="30">
                  <c:v>0.22898972067061757</c:v>
                </c:pt>
                <c:pt idx="31">
                  <c:v>0.17317154045285235</c:v>
                </c:pt>
                <c:pt idx="32">
                  <c:v>0.1309595135318305</c:v>
                </c:pt>
                <c:pt idx="33">
                  <c:v>9.9037025019495378E-2</c:v>
                </c:pt>
                <c:pt idx="34">
                  <c:v>7.4895912944332954E-2</c:v>
                </c:pt>
                <c:pt idx="35">
                  <c:v>5.6639401018567397E-2</c:v>
                </c:pt>
                <c:pt idx="36">
                  <c:v>4.2833068209295798E-2</c:v>
                </c:pt>
                <c:pt idx="37">
                  <c:v>3.239214573651214E-2</c:v>
                </c:pt>
                <c:pt idx="38">
                  <c:v>2.4496286380617658E-2</c:v>
                </c:pt>
                <c:pt idx="39">
                  <c:v>1.8525109491738388E-2</c:v>
                </c:pt>
                <c:pt idx="40">
                  <c:v>1.4009457447902463E-2</c:v>
                </c:pt>
              </c:numCache>
            </c:numRef>
          </c:yVal>
          <c:smooth val="0"/>
          <c:extLst>
            <c:ext xmlns:c16="http://schemas.microsoft.com/office/drawing/2014/chart" uri="{C3380CC4-5D6E-409C-BE32-E72D297353CC}">
              <c16:uniqueId val="{00000000-0F2D-4C24-B8DF-CE2387A604A0}"/>
            </c:ext>
          </c:extLst>
        </c:ser>
        <c:dLbls>
          <c:showLegendKey val="0"/>
          <c:showVal val="0"/>
          <c:showCatName val="0"/>
          <c:showSerName val="0"/>
          <c:showPercent val="0"/>
          <c:showBubbleSize val="0"/>
        </c:dLbls>
        <c:axId val="137349376"/>
        <c:axId val="137359744"/>
      </c:scatterChart>
      <c:valAx>
        <c:axId val="137349376"/>
        <c:scaling>
          <c:orientation val="minMax"/>
        </c:scaling>
        <c:delete val="0"/>
        <c:axPos val="b"/>
        <c:title>
          <c:tx>
            <c:rich>
              <a:bodyPr/>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Age (years)</a:t>
                </a:r>
              </a:p>
            </c:rich>
          </c:tx>
          <c:overlay val="0"/>
        </c:title>
        <c:numFmt formatCode="General" sourceLinked="1"/>
        <c:majorTickMark val="out"/>
        <c:minorTickMark val="none"/>
        <c:tickLblPos val="nextTo"/>
        <c:crossAx val="137359744"/>
        <c:crosses val="autoZero"/>
        <c:crossBetween val="midCat"/>
      </c:valAx>
      <c:valAx>
        <c:axId val="137359744"/>
        <c:scaling>
          <c:orientation val="minMax"/>
        </c:scaling>
        <c:delete val="0"/>
        <c:axPos val="l"/>
        <c:title>
          <c:tx>
            <c:rich>
              <a:bodyPr rot="-5400000" vert="horz"/>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Cohort numbers</a:t>
                </a:r>
              </a:p>
            </c:rich>
          </c:tx>
          <c:overlay val="0"/>
        </c:title>
        <c:numFmt formatCode="0_)" sourceLinked="1"/>
        <c:majorTickMark val="out"/>
        <c:minorTickMark val="none"/>
        <c:tickLblPos val="nextTo"/>
        <c:crossAx val="137349376"/>
        <c:crosses val="autoZero"/>
        <c:crossBetween val="midCat"/>
      </c:valAx>
    </c:plotArea>
    <c:plotVisOnly val="1"/>
    <c:dispBlanksAs val="gap"/>
    <c:showDLblsOverMax val="0"/>
  </c:chart>
  <c:printSettings>
    <c:headerFooter/>
    <c:pageMargins b="0.75000000000000167" l="0.70000000000000062" r="0.70000000000000062" t="0.75000000000000167"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Cohort biomass at length</a:t>
            </a:r>
          </a:p>
        </c:rich>
      </c:tx>
      <c:overlay val="0"/>
    </c:title>
    <c:autoTitleDeleted val="0"/>
    <c:plotArea>
      <c:layout/>
      <c:scatterChart>
        <c:scatterStyle val="lineMarker"/>
        <c:varyColors val="0"/>
        <c:ser>
          <c:idx val="0"/>
          <c:order val="0"/>
          <c:spPr>
            <a:ln w="28575">
              <a:solidFill>
                <a:srgbClr val="C0504D"/>
              </a:solidFill>
            </a:ln>
          </c:spPr>
          <c:marker>
            <c:symbol val="none"/>
          </c:marker>
          <c:xVal>
            <c:numRef>
              <c:f>'YPR SSBRPR'!$B$19:$B$59</c:f>
              <c:numCache>
                <c:formatCode>0.000</c:formatCode>
                <c:ptCount val="41"/>
                <c:pt idx="0">
                  <c:v>4.4409762788491642</c:v>
                </c:pt>
                <c:pt idx="1">
                  <c:v>11.172865401791277</c:v>
                </c:pt>
                <c:pt idx="2">
                  <c:v>16.558295296584355</c:v>
                </c:pt>
                <c:pt idx="3">
                  <c:v>20.866574090554675</c:v>
                </c:pt>
                <c:pt idx="4">
                  <c:v>24.313145029027091</c:v>
                </c:pt>
                <c:pt idx="5">
                  <c:v>27.070360103071909</c:v>
                </c:pt>
                <c:pt idx="6">
                  <c:v>29.276098821425247</c:v>
                </c:pt>
                <c:pt idx="7">
                  <c:v>31.040663123805064</c:v>
                </c:pt>
                <c:pt idx="8">
                  <c:v>32.452293228189163</c:v>
                </c:pt>
                <c:pt idx="9">
                  <c:v>33.581580241938653</c:v>
                </c:pt>
                <c:pt idx="10">
                  <c:v>34.484996197338432</c:v>
                </c:pt>
                <c:pt idx="11">
                  <c:v>35.207718037343533</c:v>
                </c:pt>
                <c:pt idx="12">
                  <c:v>35.785886770027929</c:v>
                </c:pt>
                <c:pt idx="13">
                  <c:v>36.24841476482537</c:v>
                </c:pt>
                <c:pt idx="14">
                  <c:v>36.618431567667812</c:v>
                </c:pt>
                <c:pt idx="15">
                  <c:v>36.914440535612997</c:v>
                </c:pt>
                <c:pt idx="16">
                  <c:v>37.151244130560215</c:v>
                </c:pt>
                <c:pt idx="17">
                  <c:v>37.340684143034146</c:v>
                </c:pt>
                <c:pt idx="18">
                  <c:v>37.492233862260832</c:v>
                </c:pt>
                <c:pt idx="19">
                  <c:v>37.613471805067917</c:v>
                </c:pt>
                <c:pt idx="20">
                  <c:v>37.710460693276332</c:v>
                </c:pt>
                <c:pt idx="21">
                  <c:v>37.788050631030991</c:v>
                </c:pt>
                <c:pt idx="22">
                  <c:v>37.850121642999241</c:v>
                </c:pt>
                <c:pt idx="23">
                  <c:v>37.899777701996811</c:v>
                </c:pt>
                <c:pt idx="24">
                  <c:v>37.939501948742311</c:v>
                </c:pt>
                <c:pt idx="25">
                  <c:v>37.971280865783925</c:v>
                </c:pt>
                <c:pt idx="26">
                  <c:v>37.996703615139204</c:v>
                </c:pt>
                <c:pt idx="27">
                  <c:v>38.017041507205661</c:v>
                </c:pt>
                <c:pt idx="28">
                  <c:v>38.033311574928327</c:v>
                </c:pt>
                <c:pt idx="29">
                  <c:v>38.04632743236504</c:v>
                </c:pt>
                <c:pt idx="30">
                  <c:v>38.05673996092365</c:v>
                </c:pt>
                <c:pt idx="31">
                  <c:v>38.065069857859839</c:v>
                </c:pt>
                <c:pt idx="32">
                  <c:v>38.071733674681745</c:v>
                </c:pt>
                <c:pt idx="33">
                  <c:v>38.077064647558856</c:v>
                </c:pt>
                <c:pt idx="34">
                  <c:v>38.081329361397188</c:v>
                </c:pt>
                <c:pt idx="35">
                  <c:v>38.084741080897942</c:v>
                </c:pt>
                <c:pt idx="36">
                  <c:v>38.087470415243246</c:v>
                </c:pt>
                <c:pt idx="37">
                  <c:v>38.089653849715752</c:v>
                </c:pt>
                <c:pt idx="38">
                  <c:v>38.09140057089116</c:v>
                </c:pt>
                <c:pt idx="39">
                  <c:v>38.092797926709729</c:v>
                </c:pt>
                <c:pt idx="40">
                  <c:v>38.093915794467435</c:v>
                </c:pt>
              </c:numCache>
            </c:numRef>
          </c:xVal>
          <c:yVal>
            <c:numRef>
              <c:f>'YPR SSBRPR'!$F$19:$F$59</c:f>
              <c:numCache>
                <c:formatCode>0.00</c:formatCode>
                <c:ptCount val="41"/>
                <c:pt idx="0" formatCode="General">
                  <c:v>4346.1583283534464</c:v>
                </c:pt>
                <c:pt idx="1">
                  <c:v>35349.327371433457</c:v>
                </c:pt>
                <c:pt idx="2">
                  <c:v>73606.893452869917</c:v>
                </c:pt>
                <c:pt idx="3">
                  <c:v>100963.0568541189</c:v>
                </c:pt>
                <c:pt idx="4">
                  <c:v>113175.42039319553</c:v>
                </c:pt>
                <c:pt idx="5">
                  <c:v>112856.39890136312</c:v>
                </c:pt>
                <c:pt idx="6">
                  <c:v>104417.48080716113</c:v>
                </c:pt>
                <c:pt idx="7">
                  <c:v>91806.815300126094</c:v>
                </c:pt>
                <c:pt idx="8">
                  <c:v>77850.736747633244</c:v>
                </c:pt>
                <c:pt idx="9">
                  <c:v>64294.105776118158</c:v>
                </c:pt>
                <c:pt idx="10">
                  <c:v>52061.256133032919</c:v>
                </c:pt>
                <c:pt idx="11">
                  <c:v>41530.444629923331</c:v>
                </c:pt>
                <c:pt idx="12">
                  <c:v>32752.144690238019</c:v>
                </c:pt>
                <c:pt idx="13">
                  <c:v>25601.154238677304</c:v>
                </c:pt>
                <c:pt idx="14">
                  <c:v>19873.57573237114</c:v>
                </c:pt>
                <c:pt idx="15">
                  <c:v>15344.00901440895</c:v>
                </c:pt>
                <c:pt idx="16">
                  <c:v>11796.394430514179</c:v>
                </c:pt>
                <c:pt idx="17">
                  <c:v>9038.5116432648065</c:v>
                </c:pt>
                <c:pt idx="18">
                  <c:v>6906.950348257812</c:v>
                </c:pt>
                <c:pt idx="19">
                  <c:v>5266.9203985983931</c:v>
                </c:pt>
                <c:pt idx="20">
                  <c:v>4009.5606451633739</c:v>
                </c:pt>
                <c:pt idx="21">
                  <c:v>3048.2849143882113</c:v>
                </c:pt>
                <c:pt idx="22">
                  <c:v>2315.0013933130817</c:v>
                </c:pt>
                <c:pt idx="23">
                  <c:v>1756.6196459198698</c:v>
                </c:pt>
                <c:pt idx="24">
                  <c:v>1332.0165635316851</c:v>
                </c:pt>
                <c:pt idx="25">
                  <c:v>1009.5000546572177</c:v>
                </c:pt>
                <c:pt idx="26">
                  <c:v>764.74255081680735</c:v>
                </c:pt>
                <c:pt idx="27">
                  <c:v>579.12740831533358</c:v>
                </c:pt>
                <c:pt idx="28">
                  <c:v>438.44293802513931</c:v>
                </c:pt>
                <c:pt idx="29">
                  <c:v>331.86098725407243</c:v>
                </c:pt>
                <c:pt idx="30">
                  <c:v>251.14394145480577</c:v>
                </c:pt>
                <c:pt idx="31">
                  <c:v>190.03253087138754</c:v>
                </c:pt>
                <c:pt idx="32">
                  <c:v>143.77527756524708</c:v>
                </c:pt>
                <c:pt idx="33">
                  <c:v>108.76804037469222</c:v>
                </c:pt>
                <c:pt idx="34">
                  <c:v>82.278632424181893</c:v>
                </c:pt>
                <c:pt idx="35">
                  <c:v>62.236873549630971</c:v>
                </c:pt>
                <c:pt idx="36">
                  <c:v>47.074794133837933</c:v>
                </c:pt>
                <c:pt idx="37">
                  <c:v>35.605169712710797</c:v>
                </c:pt>
                <c:pt idx="38">
                  <c:v>26.929287810808372</c:v>
                </c:pt>
                <c:pt idx="39">
                  <c:v>20.366969752019187</c:v>
                </c:pt>
                <c:pt idx="40">
                  <c:v>15.403512444534242</c:v>
                </c:pt>
              </c:numCache>
            </c:numRef>
          </c:yVal>
          <c:smooth val="0"/>
          <c:extLst>
            <c:ext xmlns:c16="http://schemas.microsoft.com/office/drawing/2014/chart" uri="{C3380CC4-5D6E-409C-BE32-E72D297353CC}">
              <c16:uniqueId val="{00000000-A0F4-41B0-8648-69E8F41B99CF}"/>
            </c:ext>
          </c:extLst>
        </c:ser>
        <c:dLbls>
          <c:showLegendKey val="0"/>
          <c:showVal val="0"/>
          <c:showCatName val="0"/>
          <c:showSerName val="0"/>
          <c:showPercent val="0"/>
          <c:showBubbleSize val="0"/>
        </c:dLbls>
        <c:axId val="137286400"/>
        <c:axId val="137288320"/>
      </c:scatterChart>
      <c:valAx>
        <c:axId val="137286400"/>
        <c:scaling>
          <c:orientation val="minMax"/>
        </c:scaling>
        <c:delete val="0"/>
        <c:axPos val="b"/>
        <c:title>
          <c:tx>
            <c:rich>
              <a:bodyPr/>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Length (cm)</a:t>
                </a:r>
              </a:p>
            </c:rich>
          </c:tx>
          <c:overlay val="0"/>
        </c:title>
        <c:numFmt formatCode="0.000" sourceLinked="1"/>
        <c:majorTickMark val="out"/>
        <c:minorTickMark val="none"/>
        <c:tickLblPos val="nextTo"/>
        <c:crossAx val="137288320"/>
        <c:crosses val="autoZero"/>
        <c:crossBetween val="midCat"/>
      </c:valAx>
      <c:valAx>
        <c:axId val="137288320"/>
        <c:scaling>
          <c:orientation val="minMax"/>
        </c:scaling>
        <c:delete val="0"/>
        <c:axPos val="l"/>
        <c:title>
          <c:tx>
            <c:rich>
              <a:bodyPr rot="-5400000" vert="horz"/>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Cohort Biomass</a:t>
                </a:r>
              </a:p>
            </c:rich>
          </c:tx>
          <c:overlay val="0"/>
        </c:title>
        <c:numFmt formatCode="General" sourceLinked="1"/>
        <c:majorTickMark val="out"/>
        <c:minorTickMark val="none"/>
        <c:tickLblPos val="nextTo"/>
        <c:crossAx val="137286400"/>
        <c:crosses val="autoZero"/>
        <c:crossBetween val="midCat"/>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Cohort biomass</a:t>
            </a:r>
            <a:r>
              <a:rPr lang="en-US" baseline="0"/>
              <a:t> </a:t>
            </a:r>
            <a:r>
              <a:rPr lang="en-US"/>
              <a:t>at age</a:t>
            </a:r>
          </a:p>
        </c:rich>
      </c:tx>
      <c:overlay val="0"/>
    </c:title>
    <c:autoTitleDeleted val="0"/>
    <c:plotArea>
      <c:layout/>
      <c:scatterChart>
        <c:scatterStyle val="lineMarker"/>
        <c:varyColors val="0"/>
        <c:ser>
          <c:idx val="0"/>
          <c:order val="0"/>
          <c:spPr>
            <a:ln w="28575">
              <a:solidFill>
                <a:schemeClr val="accent1"/>
              </a:solidFill>
            </a:ln>
          </c:spPr>
          <c:marker>
            <c:symbol val="none"/>
          </c:marker>
          <c:xVal>
            <c:numRef>
              <c:f>'YPR SSBRPR'!$A$19:$A$59</c:f>
              <c:numCache>
                <c:formatCode>General</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xVal>
          <c:yVal>
            <c:numRef>
              <c:f>'YPR SSBRPR'!$F$19:$F$59</c:f>
              <c:numCache>
                <c:formatCode>0.00</c:formatCode>
                <c:ptCount val="41"/>
                <c:pt idx="0" formatCode="General">
                  <c:v>4346.1583283534464</c:v>
                </c:pt>
                <c:pt idx="1">
                  <c:v>35349.327371433457</c:v>
                </c:pt>
                <c:pt idx="2">
                  <c:v>73606.893452869917</c:v>
                </c:pt>
                <c:pt idx="3">
                  <c:v>100963.0568541189</c:v>
                </c:pt>
                <c:pt idx="4">
                  <c:v>113175.42039319553</c:v>
                </c:pt>
                <c:pt idx="5">
                  <c:v>112856.39890136312</c:v>
                </c:pt>
                <c:pt idx="6">
                  <c:v>104417.48080716113</c:v>
                </c:pt>
                <c:pt idx="7">
                  <c:v>91806.815300126094</c:v>
                </c:pt>
                <c:pt idx="8">
                  <c:v>77850.736747633244</c:v>
                </c:pt>
                <c:pt idx="9">
                  <c:v>64294.105776118158</c:v>
                </c:pt>
                <c:pt idx="10">
                  <c:v>52061.256133032919</c:v>
                </c:pt>
                <c:pt idx="11">
                  <c:v>41530.444629923331</c:v>
                </c:pt>
                <c:pt idx="12">
                  <c:v>32752.144690238019</c:v>
                </c:pt>
                <c:pt idx="13">
                  <c:v>25601.154238677304</c:v>
                </c:pt>
                <c:pt idx="14">
                  <c:v>19873.57573237114</c:v>
                </c:pt>
                <c:pt idx="15">
                  <c:v>15344.00901440895</c:v>
                </c:pt>
                <c:pt idx="16">
                  <c:v>11796.394430514179</c:v>
                </c:pt>
                <c:pt idx="17">
                  <c:v>9038.5116432648065</c:v>
                </c:pt>
                <c:pt idx="18">
                  <c:v>6906.950348257812</c:v>
                </c:pt>
                <c:pt idx="19">
                  <c:v>5266.9203985983931</c:v>
                </c:pt>
                <c:pt idx="20">
                  <c:v>4009.5606451633739</c:v>
                </c:pt>
                <c:pt idx="21">
                  <c:v>3048.2849143882113</c:v>
                </c:pt>
                <c:pt idx="22">
                  <c:v>2315.0013933130817</c:v>
                </c:pt>
                <c:pt idx="23">
                  <c:v>1756.6196459198698</c:v>
                </c:pt>
                <c:pt idx="24">
                  <c:v>1332.0165635316851</c:v>
                </c:pt>
                <c:pt idx="25">
                  <c:v>1009.5000546572177</c:v>
                </c:pt>
                <c:pt idx="26">
                  <c:v>764.74255081680735</c:v>
                </c:pt>
                <c:pt idx="27">
                  <c:v>579.12740831533358</c:v>
                </c:pt>
                <c:pt idx="28">
                  <c:v>438.44293802513931</c:v>
                </c:pt>
                <c:pt idx="29">
                  <c:v>331.86098725407243</c:v>
                </c:pt>
                <c:pt idx="30">
                  <c:v>251.14394145480577</c:v>
                </c:pt>
                <c:pt idx="31">
                  <c:v>190.03253087138754</c:v>
                </c:pt>
                <c:pt idx="32">
                  <c:v>143.77527756524708</c:v>
                </c:pt>
                <c:pt idx="33">
                  <c:v>108.76804037469222</c:v>
                </c:pt>
                <c:pt idx="34">
                  <c:v>82.278632424181893</c:v>
                </c:pt>
                <c:pt idx="35">
                  <c:v>62.236873549630971</c:v>
                </c:pt>
                <c:pt idx="36">
                  <c:v>47.074794133837933</c:v>
                </c:pt>
                <c:pt idx="37">
                  <c:v>35.605169712710797</c:v>
                </c:pt>
                <c:pt idx="38">
                  <c:v>26.929287810808372</c:v>
                </c:pt>
                <c:pt idx="39">
                  <c:v>20.366969752019187</c:v>
                </c:pt>
                <c:pt idx="40">
                  <c:v>15.403512444534242</c:v>
                </c:pt>
              </c:numCache>
            </c:numRef>
          </c:yVal>
          <c:smooth val="0"/>
          <c:extLst>
            <c:ext xmlns:c16="http://schemas.microsoft.com/office/drawing/2014/chart" uri="{C3380CC4-5D6E-409C-BE32-E72D297353CC}">
              <c16:uniqueId val="{00000000-3B9B-4F48-834E-3E5B49E9FCF6}"/>
            </c:ext>
          </c:extLst>
        </c:ser>
        <c:dLbls>
          <c:showLegendKey val="0"/>
          <c:showVal val="0"/>
          <c:showCatName val="0"/>
          <c:showSerName val="0"/>
          <c:showPercent val="0"/>
          <c:showBubbleSize val="0"/>
        </c:dLbls>
        <c:axId val="137370624"/>
        <c:axId val="137385088"/>
      </c:scatterChart>
      <c:valAx>
        <c:axId val="137370624"/>
        <c:scaling>
          <c:orientation val="minMax"/>
          <c:max val="40"/>
        </c:scaling>
        <c:delete val="0"/>
        <c:axPos val="b"/>
        <c:title>
          <c:tx>
            <c:rich>
              <a:bodyPr/>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Age (years)</a:t>
                </a:r>
              </a:p>
            </c:rich>
          </c:tx>
          <c:overlay val="0"/>
        </c:title>
        <c:numFmt formatCode="General" sourceLinked="1"/>
        <c:majorTickMark val="out"/>
        <c:minorTickMark val="none"/>
        <c:tickLblPos val="nextTo"/>
        <c:crossAx val="137385088"/>
        <c:crosses val="autoZero"/>
        <c:crossBetween val="midCat"/>
      </c:valAx>
      <c:valAx>
        <c:axId val="137385088"/>
        <c:scaling>
          <c:orientation val="minMax"/>
        </c:scaling>
        <c:delete val="0"/>
        <c:axPos val="l"/>
        <c:title>
          <c:tx>
            <c:rich>
              <a:bodyPr rot="-5400000" vert="horz"/>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Cohort numbers</a:t>
                </a:r>
              </a:p>
            </c:rich>
          </c:tx>
          <c:overlay val="0"/>
        </c:title>
        <c:numFmt formatCode="General" sourceLinked="1"/>
        <c:majorTickMark val="out"/>
        <c:minorTickMark val="none"/>
        <c:tickLblPos val="nextTo"/>
        <c:crossAx val="137370624"/>
        <c:crosses val="autoZero"/>
        <c:crossBetween val="midCat"/>
      </c:valAx>
    </c:plotArea>
    <c:plotVisOnly val="1"/>
    <c:dispBlanksAs val="gap"/>
    <c:showDLblsOverMax val="0"/>
  </c:chart>
  <c:printSettings>
    <c:headerFooter/>
    <c:pageMargins b="0.75000000000000211" l="0.70000000000000062" r="0.70000000000000062" t="0.75000000000000211" header="0.30000000000000032" footer="0.30000000000000032"/>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Cohort numbers at length</a:t>
            </a:r>
          </a:p>
        </c:rich>
      </c:tx>
      <c:overlay val="0"/>
    </c:title>
    <c:autoTitleDeleted val="0"/>
    <c:plotArea>
      <c:layout/>
      <c:scatterChart>
        <c:scatterStyle val="lineMarker"/>
        <c:varyColors val="0"/>
        <c:ser>
          <c:idx val="0"/>
          <c:order val="0"/>
          <c:spPr>
            <a:ln w="28575">
              <a:solidFill>
                <a:schemeClr val="accent2"/>
              </a:solidFill>
            </a:ln>
          </c:spPr>
          <c:marker>
            <c:symbol val="none"/>
          </c:marker>
          <c:xVal>
            <c:numRef>
              <c:f>'YPR SSBRPR'!$B$19:$B$59</c:f>
              <c:numCache>
                <c:formatCode>0.000</c:formatCode>
                <c:ptCount val="41"/>
                <c:pt idx="0">
                  <c:v>4.4409762788491642</c:v>
                </c:pt>
                <c:pt idx="1">
                  <c:v>11.172865401791277</c:v>
                </c:pt>
                <c:pt idx="2">
                  <c:v>16.558295296584355</c:v>
                </c:pt>
                <c:pt idx="3">
                  <c:v>20.866574090554675</c:v>
                </c:pt>
                <c:pt idx="4">
                  <c:v>24.313145029027091</c:v>
                </c:pt>
                <c:pt idx="5">
                  <c:v>27.070360103071909</c:v>
                </c:pt>
                <c:pt idx="6">
                  <c:v>29.276098821425247</c:v>
                </c:pt>
                <c:pt idx="7">
                  <c:v>31.040663123805064</c:v>
                </c:pt>
                <c:pt idx="8">
                  <c:v>32.452293228189163</c:v>
                </c:pt>
                <c:pt idx="9">
                  <c:v>33.581580241938653</c:v>
                </c:pt>
                <c:pt idx="10">
                  <c:v>34.484996197338432</c:v>
                </c:pt>
                <c:pt idx="11">
                  <c:v>35.207718037343533</c:v>
                </c:pt>
                <c:pt idx="12">
                  <c:v>35.785886770027929</c:v>
                </c:pt>
                <c:pt idx="13">
                  <c:v>36.24841476482537</c:v>
                </c:pt>
                <c:pt idx="14">
                  <c:v>36.618431567667812</c:v>
                </c:pt>
                <c:pt idx="15">
                  <c:v>36.914440535612997</c:v>
                </c:pt>
                <c:pt idx="16">
                  <c:v>37.151244130560215</c:v>
                </c:pt>
                <c:pt idx="17">
                  <c:v>37.340684143034146</c:v>
                </c:pt>
                <c:pt idx="18">
                  <c:v>37.492233862260832</c:v>
                </c:pt>
                <c:pt idx="19">
                  <c:v>37.613471805067917</c:v>
                </c:pt>
                <c:pt idx="20">
                  <c:v>37.710460693276332</c:v>
                </c:pt>
                <c:pt idx="21">
                  <c:v>37.788050631030991</c:v>
                </c:pt>
                <c:pt idx="22">
                  <c:v>37.850121642999241</c:v>
                </c:pt>
                <c:pt idx="23">
                  <c:v>37.899777701996811</c:v>
                </c:pt>
                <c:pt idx="24">
                  <c:v>37.939501948742311</c:v>
                </c:pt>
                <c:pt idx="25">
                  <c:v>37.971280865783925</c:v>
                </c:pt>
                <c:pt idx="26">
                  <c:v>37.996703615139204</c:v>
                </c:pt>
                <c:pt idx="27">
                  <c:v>38.017041507205661</c:v>
                </c:pt>
                <c:pt idx="28">
                  <c:v>38.033311574928327</c:v>
                </c:pt>
                <c:pt idx="29">
                  <c:v>38.04632743236504</c:v>
                </c:pt>
                <c:pt idx="30">
                  <c:v>38.05673996092365</c:v>
                </c:pt>
                <c:pt idx="31">
                  <c:v>38.065069857859839</c:v>
                </c:pt>
                <c:pt idx="32">
                  <c:v>38.071733674681745</c:v>
                </c:pt>
                <c:pt idx="33">
                  <c:v>38.077064647558856</c:v>
                </c:pt>
                <c:pt idx="34">
                  <c:v>38.081329361397188</c:v>
                </c:pt>
                <c:pt idx="35">
                  <c:v>38.084741080897942</c:v>
                </c:pt>
                <c:pt idx="36">
                  <c:v>38.087470415243246</c:v>
                </c:pt>
                <c:pt idx="37">
                  <c:v>38.089653849715752</c:v>
                </c:pt>
                <c:pt idx="38">
                  <c:v>38.09140057089116</c:v>
                </c:pt>
                <c:pt idx="39">
                  <c:v>38.092797926709729</c:v>
                </c:pt>
                <c:pt idx="40">
                  <c:v>38.093915794467435</c:v>
                </c:pt>
              </c:numCache>
            </c:numRef>
          </c:xVal>
          <c:yVal>
            <c:numRef>
              <c:f>'YPR SSBRPR'!$E$19:$E$59</c:f>
              <c:numCache>
                <c:formatCode>0_)</c:formatCode>
                <c:ptCount val="41"/>
                <c:pt idx="0">
                  <c:v>1000</c:v>
                </c:pt>
                <c:pt idx="1">
                  <c:v>756.24154632663544</c:v>
                </c:pt>
                <c:pt idx="2">
                  <c:v>571.9012763905007</c:v>
                </c:pt>
                <c:pt idx="3">
                  <c:v>432.49550560372882</c:v>
                </c:pt>
                <c:pt idx="4">
                  <c:v>327.07106993708391</c:v>
                </c:pt>
                <c:pt idx="5">
                  <c:v>247.34473168792744</c:v>
                </c:pt>
                <c:pt idx="6">
                  <c:v>187.05236236742502</c:v>
                </c:pt>
                <c:pt idx="7">
                  <c:v>141.45676776079165</c:v>
                </c:pt>
                <c:pt idx="8">
                  <c:v>106.97548478978881</c:v>
                </c:pt>
                <c:pt idx="9">
                  <c:v>80.899306036471359</c:v>
                </c:pt>
                <c:pt idx="10">
                  <c:v>61.179416293772803</c:v>
                </c:pt>
                <c:pt idx="11">
                  <c:v>46.266416381363719</c:v>
                </c:pt>
                <c:pt idx="12">
                  <c:v>34.988586267234474</c:v>
                </c:pt>
                <c:pt idx="13">
                  <c:v>26.459822582516274</c:v>
                </c:pt>
                <c:pt idx="14">
                  <c:v>20.01001714533054</c:v>
                </c:pt>
                <c:pt idx="15">
                  <c:v>15.13240630800725</c:v>
                </c:pt>
                <c:pt idx="16">
                  <c:v>11.443754346010337</c:v>
                </c:pt>
                <c:pt idx="17">
                  <c:v>8.6542424824090158</c:v>
                </c:pt>
                <c:pt idx="18">
                  <c:v>6.5446977171826504</c:v>
                </c:pt>
                <c:pt idx="19">
                  <c:v>4.9493723218826107</c:v>
                </c:pt>
                <c:pt idx="20">
                  <c:v>3.7429209780467532</c:v>
                </c:pt>
                <c:pt idx="21">
                  <c:v>2.8305523482164805</c:v>
                </c:pt>
                <c:pt idx="22">
                  <c:v>2.1405812847737211</c:v>
                </c:pt>
                <c:pt idx="23">
                  <c:v>1.6187965008351337</c:v>
                </c:pt>
                <c:pt idx="24">
                  <c:v>1.2242011689797085</c:v>
                </c:pt>
                <c:pt idx="25">
                  <c:v>0.92579178504408988</c:v>
                </c:pt>
                <c:pt idx="26">
                  <c:v>0.70012221109823813</c:v>
                </c:pt>
                <c:pt idx="27">
                  <c:v>0.52946150353855492</c:v>
                </c:pt>
                <c:pt idx="28">
                  <c:v>0.40040078615642227</c:v>
                </c:pt>
                <c:pt idx="29">
                  <c:v>0.30279970967333308</c:v>
                </c:pt>
                <c:pt idx="30">
                  <c:v>0.22898972067061757</c:v>
                </c:pt>
                <c:pt idx="31">
                  <c:v>0.17317154045285235</c:v>
                </c:pt>
                <c:pt idx="32">
                  <c:v>0.1309595135318305</c:v>
                </c:pt>
                <c:pt idx="33">
                  <c:v>9.9037025019495378E-2</c:v>
                </c:pt>
                <c:pt idx="34">
                  <c:v>7.4895912944332954E-2</c:v>
                </c:pt>
                <c:pt idx="35">
                  <c:v>5.6639401018567397E-2</c:v>
                </c:pt>
                <c:pt idx="36">
                  <c:v>4.2833068209295798E-2</c:v>
                </c:pt>
                <c:pt idx="37">
                  <c:v>3.239214573651214E-2</c:v>
                </c:pt>
                <c:pt idx="38">
                  <c:v>2.4496286380617658E-2</c:v>
                </c:pt>
                <c:pt idx="39">
                  <c:v>1.8525109491738388E-2</c:v>
                </c:pt>
                <c:pt idx="40">
                  <c:v>1.4009457447902463E-2</c:v>
                </c:pt>
              </c:numCache>
            </c:numRef>
          </c:yVal>
          <c:smooth val="0"/>
          <c:extLst>
            <c:ext xmlns:c16="http://schemas.microsoft.com/office/drawing/2014/chart" uri="{C3380CC4-5D6E-409C-BE32-E72D297353CC}">
              <c16:uniqueId val="{00000000-1AAD-45C2-A45B-D710867D3096}"/>
            </c:ext>
          </c:extLst>
        </c:ser>
        <c:dLbls>
          <c:showLegendKey val="0"/>
          <c:showVal val="0"/>
          <c:showCatName val="0"/>
          <c:showSerName val="0"/>
          <c:showPercent val="0"/>
          <c:showBubbleSize val="0"/>
        </c:dLbls>
        <c:axId val="137405952"/>
        <c:axId val="137407872"/>
      </c:scatterChart>
      <c:valAx>
        <c:axId val="137405952"/>
        <c:scaling>
          <c:orientation val="minMax"/>
        </c:scaling>
        <c:delete val="0"/>
        <c:axPos val="b"/>
        <c:title>
          <c:tx>
            <c:rich>
              <a:bodyPr/>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Age (years)</a:t>
                </a:r>
              </a:p>
            </c:rich>
          </c:tx>
          <c:overlay val="0"/>
        </c:title>
        <c:numFmt formatCode="0.000" sourceLinked="1"/>
        <c:majorTickMark val="out"/>
        <c:minorTickMark val="none"/>
        <c:tickLblPos val="nextTo"/>
        <c:crossAx val="137407872"/>
        <c:crosses val="autoZero"/>
        <c:crossBetween val="midCat"/>
      </c:valAx>
      <c:valAx>
        <c:axId val="137407872"/>
        <c:scaling>
          <c:orientation val="minMax"/>
        </c:scaling>
        <c:delete val="0"/>
        <c:axPos val="l"/>
        <c:title>
          <c:tx>
            <c:rich>
              <a:bodyPr rot="-5400000" vert="horz"/>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Cohort biomass</a:t>
                </a:r>
              </a:p>
            </c:rich>
          </c:tx>
          <c:overlay val="0"/>
        </c:title>
        <c:numFmt formatCode="0_)" sourceLinked="1"/>
        <c:majorTickMark val="out"/>
        <c:minorTickMark val="none"/>
        <c:tickLblPos val="nextTo"/>
        <c:crossAx val="137405952"/>
        <c:crosses val="autoZero"/>
        <c:crossBetween val="midCat"/>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Spawning biomass at age</a:t>
            </a:r>
          </a:p>
        </c:rich>
      </c:tx>
      <c:overlay val="0"/>
    </c:title>
    <c:autoTitleDeleted val="0"/>
    <c:plotArea>
      <c:layout/>
      <c:scatterChart>
        <c:scatterStyle val="lineMarker"/>
        <c:varyColors val="0"/>
        <c:ser>
          <c:idx val="0"/>
          <c:order val="0"/>
          <c:spPr>
            <a:ln w="28575">
              <a:solidFill>
                <a:schemeClr val="accent1"/>
              </a:solidFill>
            </a:ln>
          </c:spPr>
          <c:marker>
            <c:symbol val="none"/>
          </c:marker>
          <c:xVal>
            <c:numRef>
              <c:f>'YPR SSBRPR'!$A$19:$A$59</c:f>
              <c:numCache>
                <c:formatCode>General</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xVal>
          <c:yVal>
            <c:numRef>
              <c:f>'YPR SSBRPR'!$G$19:$G$59</c:f>
              <c:numCache>
                <c:formatCode>0.00</c:formatCode>
                <c:ptCount val="41"/>
                <c:pt idx="0" formatCode="General">
                  <c:v>0</c:v>
                </c:pt>
                <c:pt idx="1">
                  <c:v>318.14394634290107</c:v>
                </c:pt>
                <c:pt idx="2">
                  <c:v>57363.692280332092</c:v>
                </c:pt>
                <c:pt idx="3">
                  <c:v>100031.61939244918</c:v>
                </c:pt>
                <c:pt idx="4">
                  <c:v>113140.77723835796</c:v>
                </c:pt>
                <c:pt idx="5">
                  <c:v>112841.68549226489</c:v>
                </c:pt>
                <c:pt idx="6">
                  <c:v>104415.01194055031</c:v>
                </c:pt>
                <c:pt idx="7">
                  <c:v>91806.815300126094</c:v>
                </c:pt>
                <c:pt idx="8">
                  <c:v>77850.736747633244</c:v>
                </c:pt>
                <c:pt idx="9">
                  <c:v>64294.105776118158</c:v>
                </c:pt>
                <c:pt idx="10">
                  <c:v>52061.256133032919</c:v>
                </c:pt>
                <c:pt idx="11">
                  <c:v>41530.444629923331</c:v>
                </c:pt>
                <c:pt idx="12">
                  <c:v>32752.144690238019</c:v>
                </c:pt>
                <c:pt idx="13">
                  <c:v>25601.154238677304</c:v>
                </c:pt>
                <c:pt idx="14">
                  <c:v>19873.57573237114</c:v>
                </c:pt>
                <c:pt idx="15">
                  <c:v>15344.00901440895</c:v>
                </c:pt>
                <c:pt idx="16">
                  <c:v>11796.394430514179</c:v>
                </c:pt>
                <c:pt idx="17">
                  <c:v>9038.5116432648065</c:v>
                </c:pt>
                <c:pt idx="18">
                  <c:v>6906.950348257812</c:v>
                </c:pt>
                <c:pt idx="19">
                  <c:v>5266.9203985983931</c:v>
                </c:pt>
                <c:pt idx="20">
                  <c:v>4009.5606451633739</c:v>
                </c:pt>
                <c:pt idx="21">
                  <c:v>3048.2849143882113</c:v>
                </c:pt>
                <c:pt idx="22">
                  <c:v>2315.0013933130817</c:v>
                </c:pt>
                <c:pt idx="23">
                  <c:v>1756.6196459198698</c:v>
                </c:pt>
                <c:pt idx="24">
                  <c:v>1332.0165635316851</c:v>
                </c:pt>
                <c:pt idx="25">
                  <c:v>1009.5000546572177</c:v>
                </c:pt>
                <c:pt idx="26">
                  <c:v>764.74255081680735</c:v>
                </c:pt>
                <c:pt idx="27">
                  <c:v>579.12740831533358</c:v>
                </c:pt>
                <c:pt idx="28">
                  <c:v>438.44293802513931</c:v>
                </c:pt>
                <c:pt idx="29">
                  <c:v>331.86098725407243</c:v>
                </c:pt>
                <c:pt idx="30">
                  <c:v>251.14394145480577</c:v>
                </c:pt>
                <c:pt idx="31">
                  <c:v>190.03253087138754</c:v>
                </c:pt>
                <c:pt idx="32">
                  <c:v>143.77527756524708</c:v>
                </c:pt>
                <c:pt idx="33">
                  <c:v>108.76804037469222</c:v>
                </c:pt>
                <c:pt idx="34">
                  <c:v>82.278632424181893</c:v>
                </c:pt>
                <c:pt idx="35">
                  <c:v>62.236873549630971</c:v>
                </c:pt>
                <c:pt idx="36">
                  <c:v>47.074794133837933</c:v>
                </c:pt>
                <c:pt idx="37">
                  <c:v>35.605169712710797</c:v>
                </c:pt>
                <c:pt idx="38">
                  <c:v>26.929287810808372</c:v>
                </c:pt>
                <c:pt idx="39">
                  <c:v>20.366969752019187</c:v>
                </c:pt>
                <c:pt idx="40">
                  <c:v>15.403512444534242</c:v>
                </c:pt>
              </c:numCache>
            </c:numRef>
          </c:yVal>
          <c:smooth val="0"/>
          <c:extLst>
            <c:ext xmlns:c16="http://schemas.microsoft.com/office/drawing/2014/chart" uri="{C3380CC4-5D6E-409C-BE32-E72D297353CC}">
              <c16:uniqueId val="{00000000-E6A0-4A1B-B3B9-67EEAABA9F5A}"/>
            </c:ext>
          </c:extLst>
        </c:ser>
        <c:dLbls>
          <c:showLegendKey val="0"/>
          <c:showVal val="0"/>
          <c:showCatName val="0"/>
          <c:showSerName val="0"/>
          <c:showPercent val="0"/>
          <c:showBubbleSize val="0"/>
        </c:dLbls>
        <c:axId val="137527296"/>
        <c:axId val="137529216"/>
      </c:scatterChart>
      <c:valAx>
        <c:axId val="137527296"/>
        <c:scaling>
          <c:orientation val="minMax"/>
        </c:scaling>
        <c:delete val="0"/>
        <c:axPos val="b"/>
        <c:title>
          <c:tx>
            <c:rich>
              <a:bodyPr/>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Age (years)</a:t>
                </a:r>
              </a:p>
            </c:rich>
          </c:tx>
          <c:overlay val="0"/>
        </c:title>
        <c:numFmt formatCode="General" sourceLinked="1"/>
        <c:majorTickMark val="out"/>
        <c:minorTickMark val="none"/>
        <c:tickLblPos val="nextTo"/>
        <c:crossAx val="137529216"/>
        <c:crosses val="autoZero"/>
        <c:crossBetween val="midCat"/>
      </c:valAx>
      <c:valAx>
        <c:axId val="137529216"/>
        <c:scaling>
          <c:orientation val="minMax"/>
        </c:scaling>
        <c:delete val="0"/>
        <c:axPos val="l"/>
        <c:title>
          <c:tx>
            <c:rich>
              <a:bodyPr rot="-5400000" vert="horz"/>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Spawning biomass</a:t>
                </a:r>
              </a:p>
            </c:rich>
          </c:tx>
          <c:overlay val="0"/>
        </c:title>
        <c:numFmt formatCode="General" sourceLinked="1"/>
        <c:majorTickMark val="out"/>
        <c:minorTickMark val="none"/>
        <c:tickLblPos val="nextTo"/>
        <c:crossAx val="137527296"/>
        <c:crosses val="autoZero"/>
        <c:crossBetween val="midCat"/>
      </c:valAx>
    </c:plotArea>
    <c:plotVisOnly val="1"/>
    <c:dispBlanksAs val="gap"/>
    <c:showDLblsOverMax val="0"/>
  </c:chart>
  <c:printSettings>
    <c:headerFooter/>
    <c:pageMargins b="0.75000000000000167" l="0.70000000000000062" r="0.70000000000000062" t="0.75000000000000167" header="0.30000000000000032" footer="0.30000000000000032"/>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Raw length at age</a:t>
            </a:r>
          </a:p>
        </c:rich>
      </c:tx>
      <c:layout>
        <c:manualLayout>
          <c:xMode val="edge"/>
          <c:yMode val="edge"/>
          <c:x val="0.33608333333333418"/>
          <c:y val="2.6845637583892749E-2"/>
        </c:manualLayout>
      </c:layout>
      <c:overlay val="0"/>
    </c:title>
    <c:autoTitleDeleted val="0"/>
    <c:plotArea>
      <c:layout>
        <c:manualLayout>
          <c:layoutTarget val="inner"/>
          <c:xMode val="edge"/>
          <c:yMode val="edge"/>
          <c:x val="8.2474628171478659E-2"/>
          <c:y val="0.14558649967411791"/>
          <c:w val="0.88678237095363033"/>
          <c:h val="0.67298173298807573"/>
        </c:manualLayout>
      </c:layout>
      <c:scatterChart>
        <c:scatterStyle val="lineMarker"/>
        <c:varyColors val="0"/>
        <c:ser>
          <c:idx val="0"/>
          <c:order val="0"/>
          <c:tx>
            <c:v>Obs Raw</c:v>
          </c:tx>
          <c:spPr>
            <a:ln>
              <a:noFill/>
            </a:ln>
          </c:spPr>
          <c:xVal>
            <c:numRef>
              <c:f>'VonBert Raw Data'!$B$21:$B$99</c:f>
              <c:numCache>
                <c:formatCode>General</c:formatCode>
                <c:ptCount val="79"/>
                <c:pt idx="0">
                  <c:v>22</c:v>
                </c:pt>
                <c:pt idx="1">
                  <c:v>17</c:v>
                </c:pt>
                <c:pt idx="2">
                  <c:v>17</c:v>
                </c:pt>
                <c:pt idx="3">
                  <c:v>16</c:v>
                </c:pt>
                <c:pt idx="4">
                  <c:v>15</c:v>
                </c:pt>
                <c:pt idx="5">
                  <c:v>14</c:v>
                </c:pt>
                <c:pt idx="6">
                  <c:v>14</c:v>
                </c:pt>
                <c:pt idx="7">
                  <c:v>13</c:v>
                </c:pt>
                <c:pt idx="8">
                  <c:v>13</c:v>
                </c:pt>
                <c:pt idx="9">
                  <c:v>13</c:v>
                </c:pt>
                <c:pt idx="10">
                  <c:v>13</c:v>
                </c:pt>
                <c:pt idx="11">
                  <c:v>12</c:v>
                </c:pt>
                <c:pt idx="12">
                  <c:v>12</c:v>
                </c:pt>
                <c:pt idx="13">
                  <c:v>12</c:v>
                </c:pt>
                <c:pt idx="14">
                  <c:v>12</c:v>
                </c:pt>
                <c:pt idx="15">
                  <c:v>12</c:v>
                </c:pt>
                <c:pt idx="16">
                  <c:v>11</c:v>
                </c:pt>
                <c:pt idx="17">
                  <c:v>11</c:v>
                </c:pt>
                <c:pt idx="18">
                  <c:v>11</c:v>
                </c:pt>
                <c:pt idx="19">
                  <c:v>11</c:v>
                </c:pt>
                <c:pt idx="20">
                  <c:v>11</c:v>
                </c:pt>
                <c:pt idx="21">
                  <c:v>11</c:v>
                </c:pt>
                <c:pt idx="22">
                  <c:v>11</c:v>
                </c:pt>
                <c:pt idx="23">
                  <c:v>11</c:v>
                </c:pt>
                <c:pt idx="24">
                  <c:v>11</c:v>
                </c:pt>
                <c:pt idx="25">
                  <c:v>10</c:v>
                </c:pt>
                <c:pt idx="26">
                  <c:v>10</c:v>
                </c:pt>
                <c:pt idx="27">
                  <c:v>10</c:v>
                </c:pt>
                <c:pt idx="28">
                  <c:v>10</c:v>
                </c:pt>
                <c:pt idx="29">
                  <c:v>10</c:v>
                </c:pt>
                <c:pt idx="30">
                  <c:v>10</c:v>
                </c:pt>
                <c:pt idx="31">
                  <c:v>10</c:v>
                </c:pt>
                <c:pt idx="32">
                  <c:v>9</c:v>
                </c:pt>
                <c:pt idx="33">
                  <c:v>9</c:v>
                </c:pt>
                <c:pt idx="34">
                  <c:v>9</c:v>
                </c:pt>
                <c:pt idx="35">
                  <c:v>9</c:v>
                </c:pt>
                <c:pt idx="36">
                  <c:v>9</c:v>
                </c:pt>
                <c:pt idx="37">
                  <c:v>9</c:v>
                </c:pt>
                <c:pt idx="38">
                  <c:v>9</c:v>
                </c:pt>
                <c:pt idx="39">
                  <c:v>9</c:v>
                </c:pt>
                <c:pt idx="40">
                  <c:v>8</c:v>
                </c:pt>
                <c:pt idx="41">
                  <c:v>8</c:v>
                </c:pt>
                <c:pt idx="42">
                  <c:v>8</c:v>
                </c:pt>
                <c:pt idx="43">
                  <c:v>8</c:v>
                </c:pt>
                <c:pt idx="44">
                  <c:v>8</c:v>
                </c:pt>
                <c:pt idx="45">
                  <c:v>8</c:v>
                </c:pt>
                <c:pt idx="46">
                  <c:v>8</c:v>
                </c:pt>
                <c:pt idx="47">
                  <c:v>8</c:v>
                </c:pt>
                <c:pt idx="48">
                  <c:v>8</c:v>
                </c:pt>
                <c:pt idx="49">
                  <c:v>8</c:v>
                </c:pt>
                <c:pt idx="50">
                  <c:v>7</c:v>
                </c:pt>
                <c:pt idx="51">
                  <c:v>7</c:v>
                </c:pt>
                <c:pt idx="52">
                  <c:v>7</c:v>
                </c:pt>
                <c:pt idx="53">
                  <c:v>7</c:v>
                </c:pt>
                <c:pt idx="54">
                  <c:v>7</c:v>
                </c:pt>
                <c:pt idx="55">
                  <c:v>7</c:v>
                </c:pt>
                <c:pt idx="56">
                  <c:v>7</c:v>
                </c:pt>
                <c:pt idx="57">
                  <c:v>6</c:v>
                </c:pt>
                <c:pt idx="58">
                  <c:v>6</c:v>
                </c:pt>
                <c:pt idx="59">
                  <c:v>6</c:v>
                </c:pt>
                <c:pt idx="60">
                  <c:v>6</c:v>
                </c:pt>
                <c:pt idx="61">
                  <c:v>6</c:v>
                </c:pt>
                <c:pt idx="62">
                  <c:v>6</c:v>
                </c:pt>
                <c:pt idx="63">
                  <c:v>6</c:v>
                </c:pt>
                <c:pt idx="64">
                  <c:v>6</c:v>
                </c:pt>
                <c:pt idx="65">
                  <c:v>6</c:v>
                </c:pt>
                <c:pt idx="66">
                  <c:v>5</c:v>
                </c:pt>
                <c:pt idx="67">
                  <c:v>5</c:v>
                </c:pt>
                <c:pt idx="68">
                  <c:v>5</c:v>
                </c:pt>
                <c:pt idx="69">
                  <c:v>5</c:v>
                </c:pt>
                <c:pt idx="70">
                  <c:v>5</c:v>
                </c:pt>
                <c:pt idx="71">
                  <c:v>5</c:v>
                </c:pt>
                <c:pt idx="72">
                  <c:v>5</c:v>
                </c:pt>
                <c:pt idx="73">
                  <c:v>5</c:v>
                </c:pt>
                <c:pt idx="74">
                  <c:v>4</c:v>
                </c:pt>
                <c:pt idx="75">
                  <c:v>4</c:v>
                </c:pt>
                <c:pt idx="76">
                  <c:v>4</c:v>
                </c:pt>
                <c:pt idx="77">
                  <c:v>4</c:v>
                </c:pt>
                <c:pt idx="78">
                  <c:v>3</c:v>
                </c:pt>
              </c:numCache>
            </c:numRef>
          </c:xVal>
          <c:yVal>
            <c:numRef>
              <c:f>'VonBert Raw Data'!$C$21:$C$99</c:f>
              <c:numCache>
                <c:formatCode>General</c:formatCode>
                <c:ptCount val="79"/>
                <c:pt idx="0">
                  <c:v>44</c:v>
                </c:pt>
                <c:pt idx="1">
                  <c:v>47</c:v>
                </c:pt>
                <c:pt idx="2">
                  <c:v>52</c:v>
                </c:pt>
                <c:pt idx="3">
                  <c:v>31</c:v>
                </c:pt>
                <c:pt idx="4">
                  <c:v>34</c:v>
                </c:pt>
                <c:pt idx="5">
                  <c:v>30</c:v>
                </c:pt>
                <c:pt idx="6">
                  <c:v>38</c:v>
                </c:pt>
                <c:pt idx="7">
                  <c:v>41</c:v>
                </c:pt>
                <c:pt idx="8">
                  <c:v>42</c:v>
                </c:pt>
                <c:pt idx="9">
                  <c:v>43</c:v>
                </c:pt>
                <c:pt idx="10">
                  <c:v>44</c:v>
                </c:pt>
                <c:pt idx="11">
                  <c:v>29</c:v>
                </c:pt>
                <c:pt idx="12">
                  <c:v>30</c:v>
                </c:pt>
                <c:pt idx="13">
                  <c:v>34</c:v>
                </c:pt>
                <c:pt idx="14">
                  <c:v>36</c:v>
                </c:pt>
                <c:pt idx="15">
                  <c:v>38</c:v>
                </c:pt>
                <c:pt idx="16">
                  <c:v>26</c:v>
                </c:pt>
                <c:pt idx="17">
                  <c:v>29</c:v>
                </c:pt>
                <c:pt idx="18">
                  <c:v>33</c:v>
                </c:pt>
                <c:pt idx="19">
                  <c:v>34</c:v>
                </c:pt>
                <c:pt idx="20">
                  <c:v>35</c:v>
                </c:pt>
                <c:pt idx="21">
                  <c:v>36</c:v>
                </c:pt>
                <c:pt idx="22">
                  <c:v>36</c:v>
                </c:pt>
                <c:pt idx="23">
                  <c:v>38</c:v>
                </c:pt>
                <c:pt idx="24">
                  <c:v>39</c:v>
                </c:pt>
                <c:pt idx="25">
                  <c:v>24</c:v>
                </c:pt>
                <c:pt idx="26">
                  <c:v>26</c:v>
                </c:pt>
                <c:pt idx="27">
                  <c:v>29</c:v>
                </c:pt>
                <c:pt idx="28">
                  <c:v>31</c:v>
                </c:pt>
                <c:pt idx="29">
                  <c:v>34</c:v>
                </c:pt>
                <c:pt idx="30">
                  <c:v>36</c:v>
                </c:pt>
                <c:pt idx="31">
                  <c:v>39</c:v>
                </c:pt>
                <c:pt idx="32">
                  <c:v>22</c:v>
                </c:pt>
                <c:pt idx="33">
                  <c:v>30</c:v>
                </c:pt>
                <c:pt idx="34">
                  <c:v>31</c:v>
                </c:pt>
                <c:pt idx="35">
                  <c:v>32</c:v>
                </c:pt>
                <c:pt idx="36">
                  <c:v>33</c:v>
                </c:pt>
                <c:pt idx="37">
                  <c:v>34</c:v>
                </c:pt>
                <c:pt idx="38">
                  <c:v>35</c:v>
                </c:pt>
                <c:pt idx="39">
                  <c:v>36</c:v>
                </c:pt>
                <c:pt idx="40">
                  <c:v>23</c:v>
                </c:pt>
                <c:pt idx="41">
                  <c:v>24</c:v>
                </c:pt>
                <c:pt idx="42">
                  <c:v>26</c:v>
                </c:pt>
                <c:pt idx="43">
                  <c:v>28</c:v>
                </c:pt>
                <c:pt idx="44">
                  <c:v>28</c:v>
                </c:pt>
                <c:pt idx="45">
                  <c:v>29</c:v>
                </c:pt>
                <c:pt idx="46">
                  <c:v>30</c:v>
                </c:pt>
                <c:pt idx="47">
                  <c:v>31</c:v>
                </c:pt>
                <c:pt idx="48">
                  <c:v>32</c:v>
                </c:pt>
                <c:pt idx="49">
                  <c:v>34</c:v>
                </c:pt>
                <c:pt idx="50">
                  <c:v>19</c:v>
                </c:pt>
                <c:pt idx="51">
                  <c:v>20</c:v>
                </c:pt>
                <c:pt idx="52">
                  <c:v>21</c:v>
                </c:pt>
                <c:pt idx="53">
                  <c:v>25</c:v>
                </c:pt>
                <c:pt idx="54">
                  <c:v>28</c:v>
                </c:pt>
                <c:pt idx="55">
                  <c:v>29</c:v>
                </c:pt>
                <c:pt idx="56">
                  <c:v>30</c:v>
                </c:pt>
                <c:pt idx="57">
                  <c:v>18</c:v>
                </c:pt>
                <c:pt idx="58">
                  <c:v>19</c:v>
                </c:pt>
                <c:pt idx="59">
                  <c:v>21</c:v>
                </c:pt>
                <c:pt idx="60">
                  <c:v>22</c:v>
                </c:pt>
                <c:pt idx="61">
                  <c:v>24</c:v>
                </c:pt>
                <c:pt idx="62">
                  <c:v>25</c:v>
                </c:pt>
                <c:pt idx="63">
                  <c:v>26</c:v>
                </c:pt>
                <c:pt idx="64">
                  <c:v>28</c:v>
                </c:pt>
                <c:pt idx="65">
                  <c:v>29</c:v>
                </c:pt>
                <c:pt idx="66">
                  <c:v>19</c:v>
                </c:pt>
                <c:pt idx="67">
                  <c:v>20</c:v>
                </c:pt>
                <c:pt idx="68">
                  <c:v>21</c:v>
                </c:pt>
                <c:pt idx="69">
                  <c:v>22</c:v>
                </c:pt>
                <c:pt idx="70">
                  <c:v>23</c:v>
                </c:pt>
                <c:pt idx="71">
                  <c:v>24</c:v>
                </c:pt>
                <c:pt idx="72">
                  <c:v>25</c:v>
                </c:pt>
                <c:pt idx="73">
                  <c:v>26</c:v>
                </c:pt>
                <c:pt idx="74">
                  <c:v>18</c:v>
                </c:pt>
                <c:pt idx="75">
                  <c:v>19</c:v>
                </c:pt>
                <c:pt idx="76">
                  <c:v>21</c:v>
                </c:pt>
                <c:pt idx="77">
                  <c:v>21</c:v>
                </c:pt>
                <c:pt idx="78">
                  <c:v>19</c:v>
                </c:pt>
              </c:numCache>
            </c:numRef>
          </c:yVal>
          <c:smooth val="0"/>
          <c:extLst>
            <c:ext xmlns:c16="http://schemas.microsoft.com/office/drawing/2014/chart" uri="{C3380CC4-5D6E-409C-BE32-E72D297353CC}">
              <c16:uniqueId val="{00000000-15C5-450C-A52E-5396D53C8D57}"/>
            </c:ext>
          </c:extLst>
        </c:ser>
        <c:ser>
          <c:idx val="1"/>
          <c:order val="1"/>
          <c:tx>
            <c:v>Predicted</c:v>
          </c:tx>
          <c:marker>
            <c:symbol val="none"/>
          </c:marker>
          <c:xVal>
            <c:numRef>
              <c:f>'VonBert Raw Data'!$H$21:$H$53</c:f>
              <c:numCache>
                <c:formatCode>General</c:formatCode>
                <c:ptCount val="33"/>
                <c:pt idx="0">
                  <c:v>-3.5</c:v>
                </c:pt>
                <c:pt idx="1">
                  <c:v>-0.5</c:v>
                </c:pt>
                <c:pt idx="2">
                  <c:v>0</c:v>
                </c:pt>
                <c:pt idx="3">
                  <c:v>1</c:v>
                </c:pt>
                <c:pt idx="4">
                  <c:v>2</c:v>
                </c:pt>
                <c:pt idx="5">
                  <c:v>3</c:v>
                </c:pt>
                <c:pt idx="6">
                  <c:v>4</c:v>
                </c:pt>
                <c:pt idx="7">
                  <c:v>5</c:v>
                </c:pt>
                <c:pt idx="8">
                  <c:v>6</c:v>
                </c:pt>
                <c:pt idx="9">
                  <c:v>7</c:v>
                </c:pt>
                <c:pt idx="10">
                  <c:v>8</c:v>
                </c:pt>
                <c:pt idx="11">
                  <c:v>9</c:v>
                </c:pt>
                <c:pt idx="12">
                  <c:v>10</c:v>
                </c:pt>
                <c:pt idx="13">
                  <c:v>11</c:v>
                </c:pt>
                <c:pt idx="14">
                  <c:v>12</c:v>
                </c:pt>
                <c:pt idx="15">
                  <c:v>13</c:v>
                </c:pt>
                <c:pt idx="16">
                  <c:v>14</c:v>
                </c:pt>
                <c:pt idx="17">
                  <c:v>15</c:v>
                </c:pt>
                <c:pt idx="18">
                  <c:v>16</c:v>
                </c:pt>
                <c:pt idx="19">
                  <c:v>17</c:v>
                </c:pt>
                <c:pt idx="20">
                  <c:v>18</c:v>
                </c:pt>
                <c:pt idx="21">
                  <c:v>19</c:v>
                </c:pt>
                <c:pt idx="22">
                  <c:v>20</c:v>
                </c:pt>
                <c:pt idx="23">
                  <c:v>21</c:v>
                </c:pt>
                <c:pt idx="24">
                  <c:v>22</c:v>
                </c:pt>
                <c:pt idx="25">
                  <c:v>23</c:v>
                </c:pt>
                <c:pt idx="26">
                  <c:v>24</c:v>
                </c:pt>
                <c:pt idx="27">
                  <c:v>25</c:v>
                </c:pt>
                <c:pt idx="28">
                  <c:v>26</c:v>
                </c:pt>
                <c:pt idx="29">
                  <c:v>27</c:v>
                </c:pt>
                <c:pt idx="30">
                  <c:v>28</c:v>
                </c:pt>
                <c:pt idx="31">
                  <c:v>29</c:v>
                </c:pt>
                <c:pt idx="32">
                  <c:v>30</c:v>
                </c:pt>
              </c:numCache>
            </c:numRef>
          </c:xVal>
          <c:yVal>
            <c:numRef>
              <c:f>'VonBert Raw Data'!$I$21:$I$53</c:f>
              <c:numCache>
                <c:formatCode>0.00</c:formatCode>
                <c:ptCount val="33"/>
                <c:pt idx="0">
                  <c:v>-3.6460229080770414</c:v>
                </c:pt>
                <c:pt idx="1">
                  <c:v>6.8407838778527426</c:v>
                </c:pt>
                <c:pt idx="2">
                  <c:v>8.4185065004456181</c:v>
                </c:pt>
                <c:pt idx="3">
                  <c:v>11.440390630330999</c:v>
                </c:pt>
                <c:pt idx="4">
                  <c:v>14.292548485282733</c:v>
                </c:pt>
                <c:pt idx="5">
                  <c:v>16.984512862444809</c:v>
                </c:pt>
                <c:pt idx="6">
                  <c:v>19.52528114261851</c:v>
                </c:pt>
                <c:pt idx="7">
                  <c:v>21.923345362302697</c:v>
                </c:pt>
                <c:pt idx="8">
                  <c:v>24.186720596716587</c:v>
                </c:pt>
                <c:pt idx="9">
                  <c:v>26.322971748669808</c:v>
                </c:pt>
                <c:pt idx="10">
                  <c:v>28.339238832816477</c:v>
                </c:pt>
                <c:pt idx="11">
                  <c:v>30.242260839801123</c:v>
                </c:pt>
                <c:pt idx="12">
                  <c:v>32.038398260057917</c:v>
                </c:pt>
                <c:pt idx="13">
                  <c:v>33.73365434254459</c:v>
                </c:pt>
                <c:pt idx="14">
                  <c:v>35.333695159464483</c:v>
                </c:pt>
                <c:pt idx="15">
                  <c:v>36.843868544039161</c:v>
                </c:pt>
                <c:pt idx="16">
                  <c:v>38.269221964627469</c:v>
                </c:pt>
                <c:pt idx="17">
                  <c:v>39.614519394932152</c:v>
                </c:pt>
                <c:pt idx="18">
                  <c:v>40.884257236679048</c:v>
                </c:pt>
                <c:pt idx="19">
                  <c:v>42.082679347987877</c:v>
                </c:pt>
                <c:pt idx="20">
                  <c:v>43.213791227663741</c:v>
                </c:pt>
                <c:pt idx="21">
                  <c:v>44.281373402817849</c:v>
                </c:pt>
                <c:pt idx="22">
                  <c:v>45.288994064562992</c:v>
                </c:pt>
                <c:pt idx="23">
                  <c:v>46.240020994016135</c:v>
                </c:pt>
                <c:pt idx="24">
                  <c:v>47.137632818468617</c:v>
                </c:pt>
                <c:pt idx="25">
                  <c:v>47.984829635345513</c:v>
                </c:pt>
                <c:pt idx="26">
                  <c:v>48.784443039462758</c:v>
                </c:pt>
                <c:pt idx="27">
                  <c:v>49.539145587096243</c:v>
                </c:pt>
                <c:pt idx="28">
                  <c:v>50.251459728494702</c:v>
                </c:pt>
                <c:pt idx="29">
                  <c:v>50.92376623869167</c:v>
                </c:pt>
                <c:pt idx="30">
                  <c:v>51.558312174794835</c:v>
                </c:pt>
                <c:pt idx="31">
                  <c:v>52.157218386348688</c:v>
                </c:pt>
                <c:pt idx="32">
                  <c:v>52.722486603872142</c:v>
                </c:pt>
              </c:numCache>
            </c:numRef>
          </c:yVal>
          <c:smooth val="0"/>
          <c:extLst>
            <c:ext xmlns:c16="http://schemas.microsoft.com/office/drawing/2014/chart" uri="{C3380CC4-5D6E-409C-BE32-E72D297353CC}">
              <c16:uniqueId val="{00000001-15C5-450C-A52E-5396D53C8D57}"/>
            </c:ext>
          </c:extLst>
        </c:ser>
        <c:dLbls>
          <c:showLegendKey val="0"/>
          <c:showVal val="0"/>
          <c:showCatName val="0"/>
          <c:showSerName val="0"/>
          <c:showPercent val="0"/>
          <c:showBubbleSize val="0"/>
        </c:dLbls>
        <c:axId val="137545984"/>
        <c:axId val="137433472"/>
      </c:scatterChart>
      <c:valAx>
        <c:axId val="137545984"/>
        <c:scaling>
          <c:orientation val="minMax"/>
          <c:min val="-5"/>
        </c:scaling>
        <c:delete val="0"/>
        <c:axPos val="b"/>
        <c:title>
          <c:tx>
            <c:rich>
              <a:bodyPr/>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Age (years)</a:t>
                </a:r>
              </a:p>
            </c:rich>
          </c:tx>
          <c:overlay val="0"/>
        </c:title>
        <c:numFmt formatCode="General" sourceLinked="1"/>
        <c:majorTickMark val="out"/>
        <c:minorTickMark val="none"/>
        <c:tickLblPos val="nextTo"/>
        <c:crossAx val="137433472"/>
        <c:crosses val="autoZero"/>
        <c:crossBetween val="midCat"/>
      </c:valAx>
      <c:valAx>
        <c:axId val="137433472"/>
        <c:scaling>
          <c:orientation val="minMax"/>
          <c:min val="-5"/>
        </c:scaling>
        <c:delete val="0"/>
        <c:axPos val="l"/>
        <c:title>
          <c:tx>
            <c:rich>
              <a:bodyPr rot="-5400000" vert="horz"/>
              <a:lstStyle/>
              <a:p>
                <a:pPr>
                  <a:defRPr/>
                </a:pPr>
                <a:r>
                  <a:rPr lang="en-US" sz="1100" b="1" i="0" u="none" strike="noStrike" kern="1200" baseline="0">
                    <a:solidFill>
                      <a:sysClr val="windowText" lastClr="000000"/>
                    </a:solidFill>
                    <a:latin typeface="+mn-lt"/>
                    <a:ea typeface="+mn-ea"/>
                    <a:cs typeface="+mn-cs"/>
                  </a:rPr>
                  <a:t>Length</a:t>
                </a:r>
                <a:r>
                  <a:rPr lang="en-US"/>
                  <a:t> (cm)</a:t>
                </a:r>
              </a:p>
            </c:rich>
          </c:tx>
          <c:overlay val="0"/>
        </c:title>
        <c:numFmt formatCode="General" sourceLinked="1"/>
        <c:majorTickMark val="out"/>
        <c:minorTickMark val="none"/>
        <c:tickLblPos val="nextTo"/>
        <c:crossAx val="137545984"/>
        <c:crossesAt val="-1"/>
        <c:crossBetween val="midCat"/>
      </c:valAx>
    </c:plotArea>
    <c:legend>
      <c:legendPos val="r"/>
      <c:overlay val="0"/>
    </c:legend>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Percent mature at age</a:t>
            </a:r>
          </a:p>
        </c:rich>
      </c:tx>
      <c:overlay val="0"/>
    </c:title>
    <c:autoTitleDeleted val="0"/>
    <c:plotArea>
      <c:layout>
        <c:manualLayout>
          <c:layoutTarget val="inner"/>
          <c:xMode val="edge"/>
          <c:yMode val="edge"/>
          <c:x val="0.13714107611548559"/>
          <c:y val="0.17628484228799693"/>
          <c:w val="0.82100481189851304"/>
          <c:h val="0.60449104908187479"/>
        </c:manualLayout>
      </c:layout>
      <c:scatterChart>
        <c:scatterStyle val="lineMarker"/>
        <c:varyColors val="0"/>
        <c:ser>
          <c:idx val="1"/>
          <c:order val="0"/>
          <c:tx>
            <c:v>Obs</c:v>
          </c:tx>
          <c:spPr>
            <a:ln>
              <a:noFill/>
            </a:ln>
          </c:spPr>
          <c:marker>
            <c:symbol val="diamond"/>
            <c:size val="7"/>
            <c:spPr>
              <a:solidFill>
                <a:schemeClr val="accent1"/>
              </a:solidFill>
              <a:ln>
                <a:solidFill>
                  <a:schemeClr val="accent1"/>
                </a:solidFill>
              </a:ln>
            </c:spPr>
          </c:marker>
          <c:xVal>
            <c:numRef>
              <c:f>'Maturity Prob Age'!$B$21:$B$31</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xVal>
          <c:yVal>
            <c:numRef>
              <c:f>'Maturity Prob Age'!$C$21:$C$31</c:f>
              <c:numCache>
                <c:formatCode>0.00</c:formatCode>
                <c:ptCount val="11"/>
                <c:pt idx="0">
                  <c:v>0</c:v>
                </c:pt>
                <c:pt idx="1">
                  <c:v>0.01</c:v>
                </c:pt>
                <c:pt idx="2">
                  <c:v>0.08</c:v>
                </c:pt>
                <c:pt idx="3">
                  <c:v>0.78</c:v>
                </c:pt>
                <c:pt idx="4">
                  <c:v>0.99</c:v>
                </c:pt>
                <c:pt idx="5">
                  <c:v>0.99</c:v>
                </c:pt>
                <c:pt idx="6">
                  <c:v>1</c:v>
                </c:pt>
                <c:pt idx="7">
                  <c:v>1</c:v>
                </c:pt>
                <c:pt idx="8">
                  <c:v>1</c:v>
                </c:pt>
                <c:pt idx="9">
                  <c:v>1</c:v>
                </c:pt>
                <c:pt idx="10">
                  <c:v>1</c:v>
                </c:pt>
              </c:numCache>
            </c:numRef>
          </c:yVal>
          <c:smooth val="0"/>
          <c:extLst>
            <c:ext xmlns:c16="http://schemas.microsoft.com/office/drawing/2014/chart" uri="{C3380CC4-5D6E-409C-BE32-E72D297353CC}">
              <c16:uniqueId val="{00000000-C9BF-4C4D-92A9-57CF51AD0617}"/>
            </c:ext>
          </c:extLst>
        </c:ser>
        <c:ser>
          <c:idx val="0"/>
          <c:order val="1"/>
          <c:tx>
            <c:v>Pred</c:v>
          </c:tx>
          <c:spPr>
            <a:ln>
              <a:solidFill>
                <a:schemeClr val="accent2"/>
              </a:solidFill>
            </a:ln>
          </c:spPr>
          <c:marker>
            <c:symbol val="none"/>
          </c:marker>
          <c:xVal>
            <c:numRef>
              <c:f>'Maturity Prob Age'!$G$21:$G$61</c:f>
              <c:numCache>
                <c:formatCode>General</c:formatCode>
                <c:ptCount val="41"/>
                <c:pt idx="0">
                  <c:v>0</c:v>
                </c:pt>
                <c:pt idx="1">
                  <c:v>0.25</c:v>
                </c:pt>
                <c:pt idx="2">
                  <c:v>0.5</c:v>
                </c:pt>
                <c:pt idx="3">
                  <c:v>0.75</c:v>
                </c:pt>
                <c:pt idx="4">
                  <c:v>1</c:v>
                </c:pt>
                <c:pt idx="5">
                  <c:v>1.25</c:v>
                </c:pt>
                <c:pt idx="6">
                  <c:v>1.5</c:v>
                </c:pt>
                <c:pt idx="7">
                  <c:v>1.75</c:v>
                </c:pt>
                <c:pt idx="8">
                  <c:v>2</c:v>
                </c:pt>
                <c:pt idx="9">
                  <c:v>2.25</c:v>
                </c:pt>
                <c:pt idx="10">
                  <c:v>2.5</c:v>
                </c:pt>
                <c:pt idx="11">
                  <c:v>2.75</c:v>
                </c:pt>
                <c:pt idx="12">
                  <c:v>3</c:v>
                </c:pt>
                <c:pt idx="13">
                  <c:v>3.25</c:v>
                </c:pt>
                <c:pt idx="14">
                  <c:v>3.5</c:v>
                </c:pt>
                <c:pt idx="15">
                  <c:v>3.75</c:v>
                </c:pt>
                <c:pt idx="16">
                  <c:v>4</c:v>
                </c:pt>
                <c:pt idx="17">
                  <c:v>4.25</c:v>
                </c:pt>
                <c:pt idx="18">
                  <c:v>4.5</c:v>
                </c:pt>
                <c:pt idx="19">
                  <c:v>4.75</c:v>
                </c:pt>
                <c:pt idx="20">
                  <c:v>5</c:v>
                </c:pt>
                <c:pt idx="21">
                  <c:v>5.25</c:v>
                </c:pt>
                <c:pt idx="22">
                  <c:v>5.5</c:v>
                </c:pt>
                <c:pt idx="23">
                  <c:v>5.75</c:v>
                </c:pt>
                <c:pt idx="24">
                  <c:v>6</c:v>
                </c:pt>
                <c:pt idx="25">
                  <c:v>6.25</c:v>
                </c:pt>
                <c:pt idx="26">
                  <c:v>6.5</c:v>
                </c:pt>
                <c:pt idx="27">
                  <c:v>6.75</c:v>
                </c:pt>
                <c:pt idx="28">
                  <c:v>7</c:v>
                </c:pt>
                <c:pt idx="29">
                  <c:v>7.25</c:v>
                </c:pt>
                <c:pt idx="30">
                  <c:v>7.5</c:v>
                </c:pt>
                <c:pt idx="31">
                  <c:v>7.75</c:v>
                </c:pt>
                <c:pt idx="32">
                  <c:v>8</c:v>
                </c:pt>
                <c:pt idx="33">
                  <c:v>8.25</c:v>
                </c:pt>
                <c:pt idx="34">
                  <c:v>8.5</c:v>
                </c:pt>
                <c:pt idx="35">
                  <c:v>8.75</c:v>
                </c:pt>
                <c:pt idx="36">
                  <c:v>9</c:v>
                </c:pt>
                <c:pt idx="37">
                  <c:v>9.25</c:v>
                </c:pt>
                <c:pt idx="38">
                  <c:v>9.5</c:v>
                </c:pt>
                <c:pt idx="39">
                  <c:v>9.75</c:v>
                </c:pt>
                <c:pt idx="40">
                  <c:v>10</c:v>
                </c:pt>
              </c:numCache>
            </c:numRef>
          </c:xVal>
          <c:yVal>
            <c:numRef>
              <c:f>'Maturity Prob Age'!$H$21:$H$61</c:f>
              <c:numCache>
                <c:formatCode>General</c:formatCode>
                <c:ptCount val="41"/>
                <c:pt idx="0">
                  <c:v>5.4236970915663094E-5</c:v>
                </c:pt>
                <c:pt idx="1">
                  <c:v>1.366030673468571E-4</c:v>
                </c:pt>
                <c:pt idx="2">
                  <c:v>3.4401006809342625E-4</c:v>
                </c:pt>
                <c:pt idx="3">
                  <c:v>8.6605424407401057E-4</c:v>
                </c:pt>
                <c:pt idx="4">
                  <c:v>2.1785874547465812E-3</c:v>
                </c:pt>
                <c:pt idx="5">
                  <c:v>5.4694180635617221E-3</c:v>
                </c:pt>
                <c:pt idx="6">
                  <c:v>1.3663094152418676E-2</c:v>
                </c:pt>
                <c:pt idx="7">
                  <c:v>3.3715498903869719E-2</c:v>
                </c:pt>
                <c:pt idx="8">
                  <c:v>8.0787009034770041E-2</c:v>
                </c:pt>
                <c:pt idx="9">
                  <c:v>0.18124981997463754</c:v>
                </c:pt>
                <c:pt idx="10">
                  <c:v>0.35798887385962724</c:v>
                </c:pt>
                <c:pt idx="11">
                  <c:v>0.58411649434939172</c:v>
                </c:pt>
                <c:pt idx="12">
                  <c:v>0.77962703397390076</c:v>
                </c:pt>
                <c:pt idx="13">
                  <c:v>0.89910261964306737</c:v>
                </c:pt>
                <c:pt idx="14">
                  <c:v>0.95734797535619331</c:v>
                </c:pt>
                <c:pt idx="15">
                  <c:v>0.98261980903097734</c:v>
                </c:pt>
                <c:pt idx="16">
                  <c:v>0.99302684659296947</c:v>
                </c:pt>
                <c:pt idx="17">
                  <c:v>0.99721991309111768</c:v>
                </c:pt>
                <c:pt idx="18">
                  <c:v>0.99889443005788237</c:v>
                </c:pt>
                <c:pt idx="19">
                  <c:v>0.99956078714529217</c:v>
                </c:pt>
                <c:pt idx="20">
                  <c:v>0.99982558281307687</c:v>
                </c:pt>
                <c:pt idx="21">
                  <c:v>0.99993074770720136</c:v>
                </c:pt>
                <c:pt idx="22">
                  <c:v>0.99997250514123193</c:v>
                </c:pt>
                <c:pt idx="23">
                  <c:v>0.9999890841415785</c:v>
                </c:pt>
                <c:pt idx="24">
                  <c:v>0.99999566628892789</c:v>
                </c:pt>
                <c:pt idx="25">
                  <c:v>0.99999827947776632</c:v>
                </c:pt>
                <c:pt idx="26">
                  <c:v>0.99999931693829092</c:v>
                </c:pt>
                <c:pt idx="27">
                  <c:v>0.99999972881896104</c:v>
                </c:pt>
                <c:pt idx="28">
                  <c:v>0.99999989233895481</c:v>
                </c:pt>
                <c:pt idx="29">
                  <c:v>0.99999995725770652</c:v>
                </c:pt>
                <c:pt idx="30">
                  <c:v>0.99999998303096949</c:v>
                </c:pt>
                <c:pt idx="31">
                  <c:v>0.9999999932631598</c:v>
                </c:pt>
                <c:pt idx="32">
                  <c:v>0.999999997325421</c:v>
                </c:pt>
                <c:pt idx="33">
                  <c:v>0.99999999893817093</c:v>
                </c:pt>
                <c:pt idx="34">
                  <c:v>0.99999999957844543</c:v>
                </c:pt>
                <c:pt idx="35">
                  <c:v>0.99999999983263943</c:v>
                </c:pt>
                <c:pt idx="36">
                  <c:v>0.99999999993355648</c:v>
                </c:pt>
                <c:pt idx="37">
                  <c:v>0.99999999997362132</c:v>
                </c:pt>
                <c:pt idx="38">
                  <c:v>0.99999999998952749</c:v>
                </c:pt>
                <c:pt idx="39">
                  <c:v>0.99999999999584244</c:v>
                </c:pt>
                <c:pt idx="40">
                  <c:v>0.99999999999834932</c:v>
                </c:pt>
              </c:numCache>
            </c:numRef>
          </c:yVal>
          <c:smooth val="0"/>
          <c:extLst>
            <c:ext xmlns:c16="http://schemas.microsoft.com/office/drawing/2014/chart" uri="{C3380CC4-5D6E-409C-BE32-E72D297353CC}">
              <c16:uniqueId val="{00000001-C9BF-4C4D-92A9-57CF51AD0617}"/>
            </c:ext>
          </c:extLst>
        </c:ser>
        <c:dLbls>
          <c:showLegendKey val="0"/>
          <c:showVal val="0"/>
          <c:showCatName val="0"/>
          <c:showSerName val="0"/>
          <c:showPercent val="0"/>
          <c:showBubbleSize val="0"/>
        </c:dLbls>
        <c:axId val="137480064"/>
        <c:axId val="137490432"/>
      </c:scatterChart>
      <c:valAx>
        <c:axId val="137480064"/>
        <c:scaling>
          <c:orientation val="minMax"/>
          <c:max val="7"/>
        </c:scaling>
        <c:delete val="0"/>
        <c:axPos val="b"/>
        <c:title>
          <c:tx>
            <c:rich>
              <a:bodyPr/>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Age (years)</a:t>
                </a:r>
              </a:p>
            </c:rich>
          </c:tx>
          <c:overlay val="0"/>
        </c:title>
        <c:numFmt formatCode="General" sourceLinked="1"/>
        <c:majorTickMark val="out"/>
        <c:minorTickMark val="none"/>
        <c:tickLblPos val="nextTo"/>
        <c:crossAx val="137490432"/>
        <c:crosses val="autoZero"/>
        <c:crossBetween val="midCat"/>
      </c:valAx>
      <c:valAx>
        <c:axId val="137490432"/>
        <c:scaling>
          <c:orientation val="minMax"/>
          <c:max val="1"/>
        </c:scaling>
        <c:delete val="0"/>
        <c:axPos val="l"/>
        <c:title>
          <c:tx>
            <c:rich>
              <a:bodyPr rot="-5400000" vert="horz"/>
              <a:lstStyle/>
              <a:p>
                <a:pPr>
                  <a:defRPr lang="en-US" sz="1100" b="1" i="0" u="none" strike="noStrike" kern="1200" baseline="0">
                    <a:solidFill>
                      <a:sysClr val="windowText" lastClr="000000"/>
                    </a:solidFill>
                    <a:latin typeface="+mn-lt"/>
                    <a:ea typeface="+mn-ea"/>
                    <a:cs typeface="+mn-cs"/>
                  </a:defRPr>
                </a:pPr>
                <a:r>
                  <a:rPr lang="en-US" sz="1100" b="1" i="0" u="none" strike="noStrike" kern="1200" baseline="0">
                    <a:solidFill>
                      <a:sysClr val="windowText" lastClr="000000"/>
                    </a:solidFill>
                    <a:latin typeface="+mn-lt"/>
                    <a:ea typeface="+mn-ea"/>
                    <a:cs typeface="+mn-cs"/>
                  </a:rPr>
                  <a:t>Percent mature</a:t>
                </a:r>
              </a:p>
            </c:rich>
          </c:tx>
          <c:overlay val="0"/>
        </c:title>
        <c:numFmt formatCode="0.0" sourceLinked="0"/>
        <c:majorTickMark val="out"/>
        <c:minorTickMark val="none"/>
        <c:tickLblPos val="nextTo"/>
        <c:crossAx val="137480064"/>
        <c:crosses val="autoZero"/>
        <c:crossBetween val="midCat"/>
      </c:valAx>
    </c:plotArea>
    <c:legend>
      <c:legendPos val="r"/>
      <c:layout>
        <c:manualLayout>
          <c:xMode val="edge"/>
          <c:yMode val="edge"/>
          <c:x val="0.78644444444444461"/>
          <c:y val="0.52855993168481763"/>
          <c:w val="0.13577777777777778"/>
          <c:h val="0.16127453321235852"/>
        </c:manualLayout>
      </c:layout>
      <c:overlay val="0"/>
    </c:legend>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Yield Per Recruit</a:t>
            </a:r>
          </a:p>
        </c:rich>
      </c:tx>
      <c:overlay val="0"/>
    </c:title>
    <c:autoTitleDeleted val="0"/>
    <c:plotArea>
      <c:layout/>
      <c:scatterChart>
        <c:scatterStyle val="lineMarker"/>
        <c:varyColors val="0"/>
        <c:ser>
          <c:idx val="2"/>
          <c:order val="0"/>
          <c:tx>
            <c:v>Ymax</c:v>
          </c:tx>
          <c:spPr>
            <a:ln>
              <a:noFill/>
            </a:ln>
          </c:spPr>
          <c:marker>
            <c:symbol val="diamond"/>
            <c:size val="8"/>
          </c:marker>
          <c:dLbls>
            <c:spPr>
              <a:noFill/>
              <a:ln>
                <a:noFill/>
              </a:ln>
              <a:effectLst/>
            </c:sp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'YPR SSBRPR'!$H$82:$I$82</c:f>
              <c:numCache>
                <c:formatCode>0.00</c:formatCode>
                <c:ptCount val="2"/>
                <c:pt idx="0">
                  <c:v>1.19</c:v>
                </c:pt>
              </c:numCache>
            </c:numRef>
          </c:xVal>
          <c:yVal>
            <c:numRef>
              <c:f>'YPR SSBRPR'!$H$81:$I$81</c:f>
              <c:numCache>
                <c:formatCode>0.00</c:formatCode>
                <c:ptCount val="2"/>
                <c:pt idx="0">
                  <c:v>94.611968665777681</c:v>
                </c:pt>
              </c:numCache>
            </c:numRef>
          </c:yVal>
          <c:smooth val="0"/>
          <c:extLst>
            <c:ext xmlns:c16="http://schemas.microsoft.com/office/drawing/2014/chart" uri="{C3380CC4-5D6E-409C-BE32-E72D297353CC}">
              <c16:uniqueId val="{00000000-06A8-4158-9BB2-AA0A35C90FD0}"/>
            </c:ext>
          </c:extLst>
        </c:ser>
        <c:ser>
          <c:idx val="0"/>
          <c:order val="1"/>
          <c:tx>
            <c:strRef>
              <c:f>'YPR SSBRPR'!$B$63</c:f>
              <c:strCache>
                <c:ptCount val="1"/>
                <c:pt idx="0">
                  <c:v>YPR</c:v>
                </c:pt>
              </c:strCache>
            </c:strRef>
          </c:tx>
          <c:spPr>
            <a:ln w="28575">
              <a:solidFill>
                <a:srgbClr val="4F81BD"/>
              </a:solidFill>
            </a:ln>
          </c:spPr>
          <c:marker>
            <c:symbol val="none"/>
          </c:marker>
          <c:xVal>
            <c:numRef>
              <c:f>'YPR SSBRPR'!$A$65:$A$266</c:f>
              <c:numCache>
                <c:formatCode>0.00</c:formatCode>
                <c:ptCount val="202"/>
                <c:pt idx="0">
                  <c:v>0</c:v>
                </c:pt>
                <c:pt idx="1">
                  <c:v>9.9999999999999794E-3</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numCache>
            </c:numRef>
          </c:xVal>
          <c:yVal>
            <c:numRef>
              <c:f>'YPR SSBRPR'!$B$65:$B$266</c:f>
              <c:numCache>
                <c:formatCode>0.000</c:formatCode>
                <c:ptCount val="202"/>
                <c:pt idx="0">
                  <c:v>0</c:v>
                </c:pt>
                <c:pt idx="1">
                  <c:v>6.9234244731048786</c:v>
                </c:pt>
                <c:pt idx="2">
                  <c:v>13.21397383244488</c:v>
                </c:pt>
                <c:pt idx="3">
                  <c:v>18.943380947878168</c:v>
                </c:pt>
                <c:pt idx="4">
                  <c:v>24.173608960769158</c:v>
                </c:pt>
                <c:pt idx="5">
                  <c:v>28.958404277546553</c:v>
                </c:pt>
                <c:pt idx="6">
                  <c:v>33.344567980634523</c:v>
                </c:pt>
                <c:pt idx="7">
                  <c:v>37.373002845222629</c:v>
                </c:pt>
                <c:pt idx="8">
                  <c:v>41.079580329154126</c:v>
                </c:pt>
                <c:pt idx="9">
                  <c:v>44.495862217116432</c:v>
                </c:pt>
                <c:pt idx="10">
                  <c:v>47.649704221513588</c:v>
                </c:pt>
                <c:pt idx="11">
                  <c:v>50.565763177127899</c:v>
                </c:pt>
                <c:pt idx="12">
                  <c:v>53.265925084874318</c:v>
                </c:pt>
                <c:pt idx="13">
                  <c:v>55.769667847233833</c:v>
                </c:pt>
                <c:pt idx="14">
                  <c:v>58.094369862523187</c:v>
                </c:pt>
                <c:pt idx="15">
                  <c:v>60.255573534686398</c:v>
                </c:pt>
                <c:pt idx="16">
                  <c:v>62.26721108067607</c:v>
                </c:pt>
                <c:pt idx="17">
                  <c:v>64.141798681295896</c:v>
                </c:pt>
                <c:pt idx="18">
                  <c:v>65.890603949554617</c:v>
                </c:pt>
                <c:pt idx="19">
                  <c:v>67.523790826488593</c:v>
                </c:pt>
                <c:pt idx="20">
                  <c:v>69.050545314443312</c:v>
                </c:pt>
                <c:pt idx="21">
                  <c:v>70.479184888191256</c:v>
                </c:pt>
                <c:pt idx="22">
                  <c:v>71.817253958704001</c:v>
                </c:pt>
                <c:pt idx="23">
                  <c:v>73.071607382293678</c:v>
                </c:pt>
                <c:pt idx="24">
                  <c:v>74.248483692982418</c:v>
                </c:pt>
                <c:pt idx="25">
                  <c:v>75.353569475515087</c:v>
                </c:pt>
                <c:pt idx="26">
                  <c:v>76.392056080216435</c:v>
                </c:pt>
                <c:pt idx="27">
                  <c:v>77.368689700757642</c:v>
                </c:pt>
                <c:pt idx="28">
                  <c:v>78.287815685318577</c:v>
                </c:pt>
                <c:pt idx="29">
                  <c:v>79.153417825348996</c:v>
                </c:pt>
                <c:pt idx="30">
                  <c:v>79.969153259895762</c:v>
                </c:pt>
                <c:pt idx="31">
                  <c:v>80.738383543820902</c:v>
                </c:pt>
                <c:pt idx="32">
                  <c:v>81.464202352378948</c:v>
                </c:pt>
                <c:pt idx="33">
                  <c:v>82.149460230248323</c:v>
                </c:pt>
                <c:pt idx="34">
                  <c:v>82.796786738338724</c:v>
                </c:pt>
                <c:pt idx="35">
                  <c:v>83.408610304969258</c:v>
                </c:pt>
                <c:pt idx="36">
                  <c:v>83.98717604804925</c:v>
                </c:pt>
                <c:pt idx="37">
                  <c:v>84.534561800631252</c:v>
                </c:pt>
                <c:pt idx="38">
                  <c:v>85.052692542765641</c:v>
                </c:pt>
                <c:pt idx="39">
                  <c:v>85.543353417226584</c:v>
                </c:pt>
                <c:pt idx="40">
                  <c:v>86.008201484790149</c:v>
                </c:pt>
                <c:pt idx="41">
                  <c:v>86.44877635581058</c:v>
                </c:pt>
                <c:pt idx="42">
                  <c:v>86.866509818427161</c:v>
                </c:pt>
                <c:pt idx="43">
                  <c:v>87.262734569476834</c:v>
                </c:pt>
                <c:pt idx="44">
                  <c:v>87.638692141781945</c:v>
                </c:pt>
                <c:pt idx="45">
                  <c:v>87.995540110662517</c:v>
                </c:pt>
                <c:pt idx="46">
                  <c:v>88.334358653074119</c:v>
                </c:pt>
                <c:pt idx="47">
                  <c:v>88.656156524501753</c:v>
                </c:pt>
                <c:pt idx="48">
                  <c:v>88.961876511490516</c:v>
                </c:pt>
                <c:pt idx="49">
                  <c:v>89.252400411329234</c:v>
                </c:pt>
                <c:pt idx="50">
                  <c:v>89.528553584802154</c:v>
                </c:pt>
                <c:pt idx="51">
                  <c:v>89.79110912299349</c:v>
                </c:pt>
                <c:pt idx="52">
                  <c:v>90.040791664774432</c:v>
                </c:pt>
                <c:pt idx="53">
                  <c:v>90.278280897759004</c:v>
                </c:pt>
                <c:pt idx="54">
                  <c:v>90.504214772108881</c:v>
                </c:pt>
                <c:pt idx="55">
                  <c:v>90.71919245355167</c:v>
                </c:pt>
                <c:pt idx="56">
                  <c:v>90.923777039299395</c:v>
                </c:pt>
                <c:pt idx="57">
                  <c:v>91.118498058173472</c:v>
                </c:pt>
                <c:pt idx="58">
                  <c:v>91.303853774125827</c:v>
                </c:pt>
                <c:pt idx="59">
                  <c:v>91.480313310456438</c:v>
                </c:pt>
                <c:pt idx="60">
                  <c:v>91.648318610346536</c:v>
                </c:pt>
                <c:pt idx="61">
                  <c:v>91.808286247818373</c:v>
                </c:pt>
                <c:pt idx="62">
                  <c:v>91.960609101890256</c:v>
                </c:pt>
                <c:pt idx="63">
                  <c:v>92.105657905488187</c:v>
                </c:pt>
                <c:pt idx="64">
                  <c:v>92.243782679594972</c:v>
                </c:pt>
                <c:pt idx="65">
                  <c:v>92.375314062148462</c:v>
                </c:pt>
                <c:pt idx="66">
                  <c:v>92.500564540328966</c:v>
                </c:pt>
                <c:pt idx="67">
                  <c:v>92.619829594089339</c:v>
                </c:pt>
                <c:pt idx="68">
                  <c:v>92.733388758079613</c:v>
                </c:pt>
                <c:pt idx="69">
                  <c:v>92.841506608474916</c:v>
                </c:pt>
                <c:pt idx="70">
                  <c:v>92.944433680648771</c:v>
                </c:pt>
                <c:pt idx="71">
                  <c:v>93.042407323105365</c:v>
                </c:pt>
                <c:pt idx="72">
                  <c:v>93.135652492625212</c:v>
                </c:pt>
                <c:pt idx="73">
                  <c:v>93.224382495144027</c:v>
                </c:pt>
                <c:pt idx="74">
                  <c:v>93.308799676507604</c:v>
                </c:pt>
                <c:pt idx="75">
                  <c:v>93.389096066890858</c:v>
                </c:pt>
                <c:pt idx="76">
                  <c:v>93.465453982355868</c:v>
                </c:pt>
                <c:pt idx="77">
                  <c:v>93.538046586733984</c:v>
                </c:pt>
                <c:pt idx="78">
                  <c:v>93.607038416756467</c:v>
                </c:pt>
                <c:pt idx="79">
                  <c:v>93.672585873118834</c:v>
                </c:pt>
                <c:pt idx="80">
                  <c:v>93.7348376799481</c:v>
                </c:pt>
                <c:pt idx="81">
                  <c:v>93.793935314944505</c:v>
                </c:pt>
                <c:pt idx="82">
                  <c:v>93.850013412287581</c:v>
                </c:pt>
                <c:pt idx="83">
                  <c:v>93.903200140233039</c:v>
                </c:pt>
                <c:pt idx="84">
                  <c:v>93.953617555176621</c:v>
                </c:pt>
                <c:pt idx="85">
                  <c:v>94.001381933820795</c:v>
                </c:pt>
                <c:pt idx="86">
                  <c:v>94.046604084958915</c:v>
                </c:pt>
                <c:pt idx="87">
                  <c:v>94.089389642271158</c:v>
                </c:pt>
                <c:pt idx="88">
                  <c:v>94.129839339424265</c:v>
                </c:pt>
                <c:pt idx="89">
                  <c:v>94.168049268668781</c:v>
                </c:pt>
                <c:pt idx="90">
                  <c:v>94.204111124038292</c:v>
                </c:pt>
                <c:pt idx="91">
                  <c:v>94.238112430174581</c:v>
                </c:pt>
                <c:pt idx="92">
                  <c:v>94.270136757726235</c:v>
                </c:pt>
                <c:pt idx="93">
                  <c:v>94.300263926199861</c:v>
                </c:pt>
                <c:pt idx="94">
                  <c:v>94.328570195079678</c:v>
                </c:pt>
                <c:pt idx="95">
                  <c:v>94.35512844397185</c:v>
                </c:pt>
                <c:pt idx="96">
                  <c:v>94.38000834247687</c:v>
                </c:pt>
                <c:pt idx="97">
                  <c:v>94.403276510443661</c:v>
                </c:pt>
                <c:pt idx="98">
                  <c:v>94.424996669211978</c:v>
                </c:pt>
                <c:pt idx="99">
                  <c:v>94.44522978440861</c:v>
                </c:pt>
                <c:pt idx="100">
                  <c:v>94.464034200823264</c:v>
                </c:pt>
                <c:pt idx="101">
                  <c:v>94.481465769854282</c:v>
                </c:pt>
                <c:pt idx="102">
                  <c:v>94.497577969979346</c:v>
                </c:pt>
                <c:pt idx="103">
                  <c:v>94.51242202067786</c:v>
                </c:pt>
                <c:pt idx="104">
                  <c:v>94.526046990201408</c:v>
                </c:pt>
                <c:pt idx="105">
                  <c:v>94.538499897561394</c:v>
                </c:pt>
                <c:pt idx="106">
                  <c:v>94.549825809082037</c:v>
                </c:pt>
                <c:pt idx="107">
                  <c:v>94.56006792983797</c:v>
                </c:pt>
                <c:pt idx="108">
                  <c:v>94.56926769028172</c:v>
                </c:pt>
                <c:pt idx="109">
                  <c:v>94.577464828340567</c:v>
                </c:pt>
                <c:pt idx="110">
                  <c:v>94.584697467247636</c:v>
                </c:pt>
                <c:pt idx="111">
                  <c:v>94.591002189354214</c:v>
                </c:pt>
                <c:pt idx="112">
                  <c:v>94.596414106153304</c:v>
                </c:pt>
                <c:pt idx="113">
                  <c:v>94.600966924732333</c:v>
                </c:pt>
                <c:pt idx="114">
                  <c:v>94.604693010856678</c:v>
                </c:pt>
                <c:pt idx="115">
                  <c:v>94.607623448874193</c:v>
                </c:pt>
                <c:pt idx="116">
                  <c:v>94.609788098619561</c:v>
                </c:pt>
                <c:pt idx="117">
                  <c:v>94.611215649485558</c:v>
                </c:pt>
                <c:pt idx="118">
                  <c:v>94.611933671817241</c:v>
                </c:pt>
                <c:pt idx="119">
                  <c:v>94.611968665777681</c:v>
                </c:pt>
                <c:pt idx="120">
                  <c:v>94.611346107823309</c:v>
                </c:pt>
                <c:pt idx="121">
                  <c:v>94.610090494918154</c:v>
                </c:pt>
                <c:pt idx="122">
                  <c:v>94.608225386610229</c:v>
                </c:pt>
                <c:pt idx="123">
                  <c:v>94.605773445084282</c:v>
                </c:pt>
                <c:pt idx="124">
                  <c:v>94.60275647330009</c:v>
                </c:pt>
                <c:pt idx="125">
                  <c:v>94.599195451316561</c:v>
                </c:pt>
                <c:pt idx="126">
                  <c:v>94.595110570898413</c:v>
                </c:pt>
                <c:pt idx="127">
                  <c:v>94.590521268496332</c:v>
                </c:pt>
                <c:pt idx="128">
                  <c:v>94.585446256683653</c:v>
                </c:pt>
                <c:pt idx="129">
                  <c:v>94.579903554131789</c:v>
                </c:pt>
                <c:pt idx="130">
                  <c:v>94.573910514198403</c:v>
                </c:pt>
                <c:pt idx="131">
                  <c:v>94.56748385220051</c:v>
                </c:pt>
                <c:pt idx="132">
                  <c:v>94.560639671439205</c:v>
                </c:pt>
                <c:pt idx="133">
                  <c:v>94.553393488039504</c:v>
                </c:pt>
                <c:pt idx="134">
                  <c:v>94.545760254665211</c:v>
                </c:pt>
                <c:pt idx="135">
                  <c:v>94.537754383165918</c:v>
                </c:pt>
                <c:pt idx="136">
                  <c:v>94.529389766207842</c:v>
                </c:pt>
                <c:pt idx="137">
                  <c:v>94.520679797941511</c:v>
                </c:pt>
                <c:pt idx="138">
                  <c:v>94.511637393751613</c:v>
                </c:pt>
                <c:pt idx="139">
                  <c:v>94.502275009135516</c:v>
                </c:pt>
                <c:pt idx="140">
                  <c:v>94.492604657752565</c:v>
                </c:pt>
                <c:pt idx="141">
                  <c:v>94.482637928684952</c:v>
                </c:pt>
                <c:pt idx="142">
                  <c:v>94.472386002947601</c:v>
                </c:pt>
                <c:pt idx="143">
                  <c:v>94.461859669284394</c:v>
                </c:pt>
                <c:pt idx="144">
                  <c:v>94.451069339283535</c:v>
                </c:pt>
                <c:pt idx="145">
                  <c:v>94.440025061845759</c:v>
                </c:pt>
                <c:pt idx="146">
                  <c:v>94.428736537035618</c:v>
                </c:pt>
                <c:pt idx="147">
                  <c:v>94.417213129344532</c:v>
                </c:pt>
                <c:pt idx="148">
                  <c:v>94.405463880394578</c:v>
                </c:pt>
                <c:pt idx="149">
                  <c:v>94.393497521106951</c:v>
                </c:pt>
                <c:pt idx="150">
                  <c:v>94.381322483362567</c:v>
                </c:pt>
                <c:pt idx="151">
                  <c:v>94.368946911176366</c:v>
                </c:pt>
                <c:pt idx="152">
                  <c:v>94.356378671408663</c:v>
                </c:pt>
                <c:pt idx="153">
                  <c:v>94.343625364034523</c:v>
                </c:pt>
                <c:pt idx="154">
                  <c:v>94.330694331991367</c:v>
                </c:pt>
                <c:pt idx="155">
                  <c:v>94.317592670623569</c:v>
                </c:pt>
                <c:pt idx="156">
                  <c:v>94.304327236743532</c:v>
                </c:pt>
                <c:pt idx="157">
                  <c:v>94.290904657324432</c:v>
                </c:pt>
                <c:pt idx="158">
                  <c:v>94.277331337843137</c:v>
                </c:pt>
                <c:pt idx="159">
                  <c:v>94.263613470287936</c:v>
                </c:pt>
                <c:pt idx="160">
                  <c:v>94.249757040845481</c:v>
                </c:pt>
                <c:pt idx="161">
                  <c:v>94.235767837282665</c:v>
                </c:pt>
                <c:pt idx="162">
                  <c:v>94.221651456034536</c:v>
                </c:pt>
                <c:pt idx="163">
                  <c:v>94.207413309013887</c:v>
                </c:pt>
                <c:pt idx="164">
                  <c:v>94.193058630152137</c:v>
                </c:pt>
                <c:pt idx="165">
                  <c:v>94.178592481684717</c:v>
                </c:pt>
                <c:pt idx="166">
                  <c:v>94.164019760191138</c:v>
                </c:pt>
                <c:pt idx="167">
                  <c:v>94.149345202401193</c:v>
                </c:pt>
                <c:pt idx="168">
                  <c:v>94.134573390776168</c:v>
                </c:pt>
                <c:pt idx="169">
                  <c:v>94.11970875887549</c:v>
                </c:pt>
                <c:pt idx="170">
                  <c:v>94.104755596517776</c:v>
                </c:pt>
                <c:pt idx="171">
                  <c:v>94.089718054744381</c:v>
                </c:pt>
                <c:pt idx="172">
                  <c:v>94.07460015059516</c:v>
                </c:pt>
                <c:pt idx="173">
                  <c:v>94.059405771701833</c:v>
                </c:pt>
                <c:pt idx="174">
                  <c:v>94.044138680709679</c:v>
                </c:pt>
                <c:pt idx="175">
                  <c:v>94.028802519532434</c:v>
                </c:pt>
                <c:pt idx="176">
                  <c:v>94.013400813447348</c:v>
                </c:pt>
                <c:pt idx="177">
                  <c:v>93.997936975038712</c:v>
                </c:pt>
                <c:pt idx="178">
                  <c:v>93.982414307994119</c:v>
                </c:pt>
                <c:pt idx="179">
                  <c:v>93.966836010760801</c:v>
                </c:pt>
                <c:pt idx="180">
                  <c:v>93.951205180066822</c:v>
                </c:pt>
                <c:pt idx="181">
                  <c:v>93.935524814313254</c:v>
                </c:pt>
                <c:pt idx="182">
                  <c:v>93.919797816842305</c:v>
                </c:pt>
                <c:pt idx="183">
                  <c:v>93.904026999086327</c:v>
                </c:pt>
                <c:pt idx="184">
                  <c:v>93.888215083602418</c:v>
                </c:pt>
                <c:pt idx="185">
                  <c:v>93.872364706997544</c:v>
                </c:pt>
                <c:pt idx="186">
                  <c:v>93.856478422747855</c:v>
                </c:pt>
                <c:pt idx="187">
                  <c:v>93.840558703917296</c:v>
                </c:pt>
                <c:pt idx="188">
                  <c:v>93.824607945778538</c:v>
                </c:pt>
                <c:pt idx="189">
                  <c:v>93.8086284683408</c:v>
                </c:pt>
                <c:pt idx="190">
                  <c:v>93.792622518787709</c:v>
                </c:pt>
                <c:pt idx="191">
                  <c:v>93.776592273828825</c:v>
                </c:pt>
                <c:pt idx="192">
                  <c:v>93.760539841968622</c:v>
                </c:pt>
                <c:pt idx="193">
                  <c:v>93.744467265695391</c:v>
                </c:pt>
                <c:pt idx="194">
                  <c:v>93.72837652359344</c:v>
                </c:pt>
                <c:pt idx="195">
                  <c:v>93.712269532382081</c:v>
                </c:pt>
                <c:pt idx="196">
                  <c:v>93.696148148883012</c:v>
                </c:pt>
                <c:pt idx="197">
                  <c:v>93.680014171920092</c:v>
                </c:pt>
                <c:pt idx="198">
                  <c:v>93.663869344153298</c:v>
                </c:pt>
                <c:pt idx="199">
                  <c:v>93.647715353849392</c:v>
                </c:pt>
                <c:pt idx="200">
                  <c:v>93.631553836591991</c:v>
                </c:pt>
                <c:pt idx="201">
                  <c:v>93.615386376933458</c:v>
                </c:pt>
              </c:numCache>
            </c:numRef>
          </c:yVal>
          <c:smooth val="0"/>
          <c:extLst>
            <c:ext xmlns:c16="http://schemas.microsoft.com/office/drawing/2014/chart" uri="{C3380CC4-5D6E-409C-BE32-E72D297353CC}">
              <c16:uniqueId val="{00000001-06A8-4158-9BB2-AA0A35C90FD0}"/>
            </c:ext>
          </c:extLst>
        </c:ser>
        <c:ser>
          <c:idx val="6"/>
          <c:order val="2"/>
          <c:tx>
            <c:strRef>
              <c:f>'YPR SSBRPR'!$G$84</c:f>
              <c:strCache>
                <c:ptCount val="1"/>
                <c:pt idx="0">
                  <c:v>F0.1</c:v>
                </c:pt>
              </c:strCache>
            </c:strRef>
          </c:tx>
          <c:spPr>
            <a:ln>
              <a:noFill/>
            </a:ln>
          </c:spPr>
          <c:marker>
            <c:symbol val="square"/>
            <c:size val="5"/>
          </c:marker>
          <c:dLbls>
            <c:spPr>
              <a:noFill/>
              <a:ln>
                <a:noFill/>
              </a:ln>
              <a:effectLst/>
            </c:sp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'YPR SSBRPR'!$I$84</c:f>
              <c:numCache>
                <c:formatCode>0.00</c:formatCode>
                <c:ptCount val="1"/>
                <c:pt idx="0">
                  <c:v>0.32</c:v>
                </c:pt>
              </c:numCache>
            </c:numRef>
          </c:xVal>
          <c:yVal>
            <c:numRef>
              <c:f>'YPR SSBRPR'!$I$85</c:f>
              <c:numCache>
                <c:formatCode>0.00</c:formatCode>
                <c:ptCount val="1"/>
                <c:pt idx="0">
                  <c:v>81.464202352378948</c:v>
                </c:pt>
              </c:numCache>
            </c:numRef>
          </c:yVal>
          <c:smooth val="0"/>
          <c:extLst>
            <c:ext xmlns:c16="http://schemas.microsoft.com/office/drawing/2014/chart" uri="{C3380CC4-5D6E-409C-BE32-E72D297353CC}">
              <c16:uniqueId val="{00000002-06A8-4158-9BB2-AA0A35C90FD0}"/>
            </c:ext>
          </c:extLst>
        </c:ser>
        <c:dLbls>
          <c:showLegendKey val="0"/>
          <c:showVal val="0"/>
          <c:showCatName val="0"/>
          <c:showSerName val="0"/>
          <c:showPercent val="0"/>
          <c:showBubbleSize val="0"/>
        </c:dLbls>
        <c:axId val="137582848"/>
        <c:axId val="137593216"/>
      </c:scatterChart>
      <c:valAx>
        <c:axId val="137582848"/>
        <c:scaling>
          <c:orientation val="minMax"/>
          <c:max val="2"/>
        </c:scaling>
        <c:delete val="0"/>
        <c:axPos val="b"/>
        <c:title>
          <c:tx>
            <c:rich>
              <a:bodyPr/>
              <a:lstStyle/>
              <a:p>
                <a:pPr>
                  <a:defRPr/>
                </a:pPr>
                <a:r>
                  <a:rPr lang="en-US"/>
                  <a:t>F (Fishing Mortality)</a:t>
                </a:r>
              </a:p>
            </c:rich>
          </c:tx>
          <c:overlay val="0"/>
        </c:title>
        <c:numFmt formatCode="0.00" sourceLinked="1"/>
        <c:majorTickMark val="out"/>
        <c:minorTickMark val="none"/>
        <c:tickLblPos val="nextTo"/>
        <c:crossAx val="137593216"/>
        <c:crosses val="autoZero"/>
        <c:crossBetween val="midCat"/>
      </c:valAx>
      <c:valAx>
        <c:axId val="137593216"/>
        <c:scaling>
          <c:orientation val="minMax"/>
        </c:scaling>
        <c:delete val="0"/>
        <c:axPos val="l"/>
        <c:title>
          <c:tx>
            <c:rich>
              <a:bodyPr rot="-5400000" vert="horz"/>
              <a:lstStyle/>
              <a:p>
                <a:pPr>
                  <a:defRPr/>
                </a:pPr>
                <a:r>
                  <a:rPr lang="en-US"/>
                  <a:t>YPR</a:t>
                </a:r>
              </a:p>
            </c:rich>
          </c:tx>
          <c:overlay val="0"/>
        </c:title>
        <c:numFmt formatCode="0.00" sourceLinked="1"/>
        <c:majorTickMark val="out"/>
        <c:minorTickMark val="none"/>
        <c:tickLblPos val="nextTo"/>
        <c:crossAx val="137582848"/>
        <c:crosses val="autoZero"/>
        <c:crossBetween val="midCat"/>
      </c:valAx>
    </c:plotArea>
    <c:legend>
      <c:legendPos val="r"/>
      <c:overlay val="0"/>
    </c:legend>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SSB</a:t>
            </a:r>
            <a:r>
              <a:rPr lang="en-US" baseline="0"/>
              <a:t> per Recruit</a:t>
            </a:r>
            <a:endParaRPr lang="en-US"/>
          </a:p>
        </c:rich>
      </c:tx>
      <c:overlay val="0"/>
    </c:title>
    <c:autoTitleDeleted val="0"/>
    <c:plotArea>
      <c:layout/>
      <c:scatterChart>
        <c:scatterStyle val="lineMarker"/>
        <c:varyColors val="0"/>
        <c:ser>
          <c:idx val="1"/>
          <c:order val="0"/>
          <c:tx>
            <c:strRef>
              <c:f>'YPR SSBRPR'!$C$63</c:f>
              <c:strCache>
                <c:ptCount val="1"/>
                <c:pt idx="0">
                  <c:v>SSBPR</c:v>
                </c:pt>
              </c:strCache>
            </c:strRef>
          </c:tx>
          <c:spPr>
            <a:ln w="28575">
              <a:solidFill>
                <a:schemeClr val="accent2"/>
              </a:solidFill>
            </a:ln>
          </c:spPr>
          <c:marker>
            <c:symbol val="none"/>
          </c:marker>
          <c:xVal>
            <c:numRef>
              <c:f>'YPR SSBRPR'!$A$65:$A$266</c:f>
              <c:numCache>
                <c:formatCode>0.00</c:formatCode>
                <c:ptCount val="202"/>
                <c:pt idx="0">
                  <c:v>0</c:v>
                </c:pt>
                <c:pt idx="1">
                  <c:v>9.9999999999999794E-3</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pt idx="53">
                  <c:v>0.53</c:v>
                </c:pt>
                <c:pt idx="54">
                  <c:v>0.54</c:v>
                </c:pt>
                <c:pt idx="55">
                  <c:v>0.55000000000000004</c:v>
                </c:pt>
                <c:pt idx="56">
                  <c:v>0.56000000000000005</c:v>
                </c:pt>
                <c:pt idx="57">
                  <c:v>0.56999999999999995</c:v>
                </c:pt>
                <c:pt idx="58">
                  <c:v>0.57999999999999996</c:v>
                </c:pt>
                <c:pt idx="59">
                  <c:v>0.59</c:v>
                </c:pt>
                <c:pt idx="60">
                  <c:v>0.6</c:v>
                </c:pt>
                <c:pt idx="61">
                  <c:v>0.61</c:v>
                </c:pt>
                <c:pt idx="62">
                  <c:v>0.62</c:v>
                </c:pt>
                <c:pt idx="63">
                  <c:v>0.63</c:v>
                </c:pt>
                <c:pt idx="64">
                  <c:v>0.64</c:v>
                </c:pt>
                <c:pt idx="65">
                  <c:v>0.65</c:v>
                </c:pt>
                <c:pt idx="66">
                  <c:v>0.66</c:v>
                </c:pt>
                <c:pt idx="67">
                  <c:v>0.67</c:v>
                </c:pt>
                <c:pt idx="68">
                  <c:v>0.68</c:v>
                </c:pt>
                <c:pt idx="69">
                  <c:v>0.69</c:v>
                </c:pt>
                <c:pt idx="70">
                  <c:v>0.7</c:v>
                </c:pt>
                <c:pt idx="71">
                  <c:v>0.71</c:v>
                </c:pt>
                <c:pt idx="72">
                  <c:v>0.72</c:v>
                </c:pt>
                <c:pt idx="73">
                  <c:v>0.73</c:v>
                </c:pt>
                <c:pt idx="74">
                  <c:v>0.74</c:v>
                </c:pt>
                <c:pt idx="75">
                  <c:v>0.75</c:v>
                </c:pt>
                <c:pt idx="76">
                  <c:v>0.76</c:v>
                </c:pt>
                <c:pt idx="77">
                  <c:v>0.77</c:v>
                </c:pt>
                <c:pt idx="78">
                  <c:v>0.78</c:v>
                </c:pt>
                <c:pt idx="79">
                  <c:v>0.79</c:v>
                </c:pt>
                <c:pt idx="80">
                  <c:v>0.8</c:v>
                </c:pt>
                <c:pt idx="81">
                  <c:v>0.81</c:v>
                </c:pt>
                <c:pt idx="82">
                  <c:v>0.82</c:v>
                </c:pt>
                <c:pt idx="83">
                  <c:v>0.83</c:v>
                </c:pt>
                <c:pt idx="84">
                  <c:v>0.84</c:v>
                </c:pt>
                <c:pt idx="85">
                  <c:v>0.85</c:v>
                </c:pt>
                <c:pt idx="86">
                  <c:v>0.86</c:v>
                </c:pt>
                <c:pt idx="87">
                  <c:v>0.87</c:v>
                </c:pt>
                <c:pt idx="88">
                  <c:v>0.88</c:v>
                </c:pt>
                <c:pt idx="89">
                  <c:v>0.89</c:v>
                </c:pt>
                <c:pt idx="90">
                  <c:v>0.9</c:v>
                </c:pt>
                <c:pt idx="91">
                  <c:v>0.91</c:v>
                </c:pt>
                <c:pt idx="92">
                  <c:v>0.92</c:v>
                </c:pt>
                <c:pt idx="93">
                  <c:v>0.93</c:v>
                </c:pt>
                <c:pt idx="94">
                  <c:v>0.94</c:v>
                </c:pt>
                <c:pt idx="95">
                  <c:v>0.95</c:v>
                </c:pt>
                <c:pt idx="96">
                  <c:v>0.96</c:v>
                </c:pt>
                <c:pt idx="97">
                  <c:v>0.97</c:v>
                </c:pt>
                <c:pt idx="98">
                  <c:v>0.98</c:v>
                </c:pt>
                <c:pt idx="99">
                  <c:v>0.99</c:v>
                </c:pt>
                <c:pt idx="100">
                  <c:v>1</c:v>
                </c:pt>
                <c:pt idx="101">
                  <c:v>1.01</c:v>
                </c:pt>
                <c:pt idx="102">
                  <c:v>1.02</c:v>
                </c:pt>
                <c:pt idx="103">
                  <c:v>1.03</c:v>
                </c:pt>
                <c:pt idx="104">
                  <c:v>1.04</c:v>
                </c:pt>
                <c:pt idx="105">
                  <c:v>1.05</c:v>
                </c:pt>
                <c:pt idx="106">
                  <c:v>1.06</c:v>
                </c:pt>
                <c:pt idx="107">
                  <c:v>1.07</c:v>
                </c:pt>
                <c:pt idx="108">
                  <c:v>1.08</c:v>
                </c:pt>
                <c:pt idx="109">
                  <c:v>1.0900000000000001</c:v>
                </c:pt>
                <c:pt idx="110">
                  <c:v>1.1000000000000001</c:v>
                </c:pt>
                <c:pt idx="111">
                  <c:v>1.1100000000000001</c:v>
                </c:pt>
                <c:pt idx="112">
                  <c:v>1.1200000000000001</c:v>
                </c:pt>
                <c:pt idx="113">
                  <c:v>1.1299999999999999</c:v>
                </c:pt>
                <c:pt idx="114">
                  <c:v>1.1399999999999999</c:v>
                </c:pt>
                <c:pt idx="115">
                  <c:v>1.1499999999999999</c:v>
                </c:pt>
                <c:pt idx="116">
                  <c:v>1.1599999999999999</c:v>
                </c:pt>
                <c:pt idx="117">
                  <c:v>1.17</c:v>
                </c:pt>
                <c:pt idx="118">
                  <c:v>1.18</c:v>
                </c:pt>
                <c:pt idx="119">
                  <c:v>1.19</c:v>
                </c:pt>
                <c:pt idx="120">
                  <c:v>1.2</c:v>
                </c:pt>
                <c:pt idx="121">
                  <c:v>1.21</c:v>
                </c:pt>
                <c:pt idx="122">
                  <c:v>1.22</c:v>
                </c:pt>
                <c:pt idx="123">
                  <c:v>1.23</c:v>
                </c:pt>
                <c:pt idx="124">
                  <c:v>1.24</c:v>
                </c:pt>
                <c:pt idx="125">
                  <c:v>1.25</c:v>
                </c:pt>
                <c:pt idx="126">
                  <c:v>1.26</c:v>
                </c:pt>
                <c:pt idx="127">
                  <c:v>1.27</c:v>
                </c:pt>
                <c:pt idx="128">
                  <c:v>1.28</c:v>
                </c:pt>
                <c:pt idx="129">
                  <c:v>1.29</c:v>
                </c:pt>
                <c:pt idx="130">
                  <c:v>1.3</c:v>
                </c:pt>
                <c:pt idx="131">
                  <c:v>1.31</c:v>
                </c:pt>
                <c:pt idx="132">
                  <c:v>1.32</c:v>
                </c:pt>
                <c:pt idx="133">
                  <c:v>1.33</c:v>
                </c:pt>
                <c:pt idx="134">
                  <c:v>1.34</c:v>
                </c:pt>
                <c:pt idx="135">
                  <c:v>1.35</c:v>
                </c:pt>
                <c:pt idx="136">
                  <c:v>1.36</c:v>
                </c:pt>
                <c:pt idx="137">
                  <c:v>1.37</c:v>
                </c:pt>
                <c:pt idx="138">
                  <c:v>1.38</c:v>
                </c:pt>
                <c:pt idx="139">
                  <c:v>1.39</c:v>
                </c:pt>
                <c:pt idx="140">
                  <c:v>1.4</c:v>
                </c:pt>
                <c:pt idx="141">
                  <c:v>1.41</c:v>
                </c:pt>
                <c:pt idx="142">
                  <c:v>1.42</c:v>
                </c:pt>
                <c:pt idx="143">
                  <c:v>1.43</c:v>
                </c:pt>
                <c:pt idx="144">
                  <c:v>1.44</c:v>
                </c:pt>
                <c:pt idx="145">
                  <c:v>1.45</c:v>
                </c:pt>
                <c:pt idx="146">
                  <c:v>1.46</c:v>
                </c:pt>
                <c:pt idx="147">
                  <c:v>1.47</c:v>
                </c:pt>
                <c:pt idx="148">
                  <c:v>1.48</c:v>
                </c:pt>
                <c:pt idx="149">
                  <c:v>1.49</c:v>
                </c:pt>
                <c:pt idx="150">
                  <c:v>1.5</c:v>
                </c:pt>
                <c:pt idx="151">
                  <c:v>1.51</c:v>
                </c:pt>
                <c:pt idx="152">
                  <c:v>1.52</c:v>
                </c:pt>
                <c:pt idx="153">
                  <c:v>1.53</c:v>
                </c:pt>
                <c:pt idx="154">
                  <c:v>1.54</c:v>
                </c:pt>
                <c:pt idx="155">
                  <c:v>1.55</c:v>
                </c:pt>
                <c:pt idx="156">
                  <c:v>1.56</c:v>
                </c:pt>
                <c:pt idx="157">
                  <c:v>1.57</c:v>
                </c:pt>
                <c:pt idx="158">
                  <c:v>1.58</c:v>
                </c:pt>
                <c:pt idx="159">
                  <c:v>1.59</c:v>
                </c:pt>
                <c:pt idx="160">
                  <c:v>1.6</c:v>
                </c:pt>
                <c:pt idx="161">
                  <c:v>1.61</c:v>
                </c:pt>
                <c:pt idx="162">
                  <c:v>1.62</c:v>
                </c:pt>
                <c:pt idx="163">
                  <c:v>1.63</c:v>
                </c:pt>
                <c:pt idx="164">
                  <c:v>1.64</c:v>
                </c:pt>
                <c:pt idx="165">
                  <c:v>1.65</c:v>
                </c:pt>
                <c:pt idx="166">
                  <c:v>1.66</c:v>
                </c:pt>
                <c:pt idx="167">
                  <c:v>1.67</c:v>
                </c:pt>
                <c:pt idx="168">
                  <c:v>1.68</c:v>
                </c:pt>
                <c:pt idx="169">
                  <c:v>1.69</c:v>
                </c:pt>
                <c:pt idx="170">
                  <c:v>1.7</c:v>
                </c:pt>
                <c:pt idx="171">
                  <c:v>1.71</c:v>
                </c:pt>
                <c:pt idx="172">
                  <c:v>1.72</c:v>
                </c:pt>
                <c:pt idx="173">
                  <c:v>1.73</c:v>
                </c:pt>
                <c:pt idx="174">
                  <c:v>1.74</c:v>
                </c:pt>
                <c:pt idx="175">
                  <c:v>1.75</c:v>
                </c:pt>
                <c:pt idx="176">
                  <c:v>1.76</c:v>
                </c:pt>
                <c:pt idx="177">
                  <c:v>1.77</c:v>
                </c:pt>
                <c:pt idx="178">
                  <c:v>1.78</c:v>
                </c:pt>
                <c:pt idx="179">
                  <c:v>1.79</c:v>
                </c:pt>
                <c:pt idx="180">
                  <c:v>1.8</c:v>
                </c:pt>
                <c:pt idx="181">
                  <c:v>1.81</c:v>
                </c:pt>
                <c:pt idx="182">
                  <c:v>1.82</c:v>
                </c:pt>
                <c:pt idx="183">
                  <c:v>1.83</c:v>
                </c:pt>
                <c:pt idx="184">
                  <c:v>1.84</c:v>
                </c:pt>
                <c:pt idx="185">
                  <c:v>1.85</c:v>
                </c:pt>
                <c:pt idx="186">
                  <c:v>1.86</c:v>
                </c:pt>
                <c:pt idx="187">
                  <c:v>1.87</c:v>
                </c:pt>
                <c:pt idx="188">
                  <c:v>1.88</c:v>
                </c:pt>
                <c:pt idx="189">
                  <c:v>1.89</c:v>
                </c:pt>
                <c:pt idx="190">
                  <c:v>1.9</c:v>
                </c:pt>
                <c:pt idx="191">
                  <c:v>1.91</c:v>
                </c:pt>
                <c:pt idx="192">
                  <c:v>1.92</c:v>
                </c:pt>
                <c:pt idx="193">
                  <c:v>1.93</c:v>
                </c:pt>
                <c:pt idx="194">
                  <c:v>1.94</c:v>
                </c:pt>
                <c:pt idx="195">
                  <c:v>1.95</c:v>
                </c:pt>
                <c:pt idx="196">
                  <c:v>1.96</c:v>
                </c:pt>
                <c:pt idx="197">
                  <c:v>1.97</c:v>
                </c:pt>
                <c:pt idx="198">
                  <c:v>1.98</c:v>
                </c:pt>
                <c:pt idx="199">
                  <c:v>1.99</c:v>
                </c:pt>
                <c:pt idx="200">
                  <c:v>2</c:v>
                </c:pt>
                <c:pt idx="201">
                  <c:v>2.0099999999999998</c:v>
                </c:pt>
              </c:numCache>
            </c:numRef>
          </c:xVal>
          <c:yVal>
            <c:numRef>
              <c:f>'YPR SSBRPR'!$C$65:$C$266</c:f>
              <c:numCache>
                <c:formatCode>0.00</c:formatCode>
                <c:ptCount val="202"/>
                <c:pt idx="0">
                  <c:v>946.24351001862487</c:v>
                </c:pt>
                <c:pt idx="1">
                  <c:v>912.72285826377788</c:v>
                </c:pt>
                <c:pt idx="2">
                  <c:v>881.49854921147619</c:v>
                </c:pt>
                <c:pt idx="3">
                  <c:v>852.37011639198545</c:v>
                </c:pt>
                <c:pt idx="4">
                  <c:v>825.15731586433458</c:v>
                </c:pt>
                <c:pt idx="5">
                  <c:v>799.69788463103748</c:v>
                </c:pt>
                <c:pt idx="6">
                  <c:v>775.84556410929531</c:v>
                </c:pt>
                <c:pt idx="7">
                  <c:v>753.46835583899906</c:v>
                </c:pt>
                <c:pt idx="8">
                  <c:v>732.44698081201159</c:v>
                </c:pt>
                <c:pt idx="9">
                  <c:v>712.67351745878989</c:v>
                </c:pt>
                <c:pt idx="10">
                  <c:v>694.05019650148495</c:v>
                </c:pt>
                <c:pt idx="11">
                  <c:v>676.48833364123357</c:v>
                </c:pt>
                <c:pt idx="12">
                  <c:v>659.90738344676538</c:v>
                </c:pt>
                <c:pt idx="13">
                  <c:v>644.23409989944207</c:v>
                </c:pt>
                <c:pt idx="14">
                  <c:v>629.40179086781347</c:v>
                </c:pt>
                <c:pt idx="15">
                  <c:v>615.34965536839252</c:v>
                </c:pt>
                <c:pt idx="16">
                  <c:v>602.02219384960313</c:v>
                </c:pt>
                <c:pt idx="17">
                  <c:v>589.36868293948339</c:v>
                </c:pt>
                <c:pt idx="18">
                  <c:v>577.34270714789386</c:v>
                </c:pt>
                <c:pt idx="19">
                  <c:v>565.90174093080304</c:v>
                </c:pt>
                <c:pt idx="20">
                  <c:v>555.00677532504267</c:v>
                </c:pt>
                <c:pt idx="21">
                  <c:v>544.62198406186928</c:v>
                </c:pt>
                <c:pt idx="22">
                  <c:v>534.71442467977226</c:v>
                </c:pt>
                <c:pt idx="23">
                  <c:v>525.25377069259798</c:v>
                </c:pt>
                <c:pt idx="24">
                  <c:v>516.21207133806047</c:v>
                </c:pt>
                <c:pt idx="25">
                  <c:v>507.56353584260205</c:v>
                </c:pt>
                <c:pt idx="26">
                  <c:v>499.28433949881435</c:v>
                </c:pt>
                <c:pt idx="27">
                  <c:v>491.35244916764918</c:v>
                </c:pt>
                <c:pt idx="28">
                  <c:v>483.74746609507849</c:v>
                </c:pt>
                <c:pt idx="29">
                  <c:v>476.4504841765476</c:v>
                </c:pt>
                <c:pt idx="30">
                  <c:v>469.4439620167982</c:v>
                </c:pt>
                <c:pt idx="31">
                  <c:v>462.71160732105284</c:v>
                </c:pt>
                <c:pt idx="32">
                  <c:v>456.23827231944375</c:v>
                </c:pt>
                <c:pt idx="33">
                  <c:v>450.00985907266164</c:v>
                </c:pt>
                <c:pt idx="34">
                  <c:v>444.01323363561738</c:v>
                </c:pt>
                <c:pt idx="35">
                  <c:v>438.23614816952164</c:v>
                </c:pt>
                <c:pt idx="36">
                  <c:v>432.66717019310852</c:v>
                </c:pt>
                <c:pt idx="37">
                  <c:v>427.29561825233958</c:v>
                </c:pt>
                <c:pt idx="38">
                  <c:v>422.11150336629129</c:v>
                </c:pt>
                <c:pt idx="39">
                  <c:v>417.10547567625252</c:v>
                </c:pt>
                <c:pt idx="40">
                  <c:v>412.26877578646025</c:v>
                </c:pt>
                <c:pt idx="41">
                  <c:v>407.59319033930359</c:v>
                </c:pt>
                <c:pt idx="42">
                  <c:v>403.07101141609297</c:v>
                </c:pt>
                <c:pt idx="43">
                  <c:v>398.69499939731577</c:v>
                </c:pt>
                <c:pt idx="44">
                  <c:v>394.45834895435632</c:v>
                </c:pt>
                <c:pt idx="45">
                  <c:v>390.35465787849057</c:v>
                </c:pt>
                <c:pt idx="46">
                  <c:v>386.37789848306164</c:v>
                </c:pt>
                <c:pt idx="47">
                  <c:v>382.52239134155803</c:v>
                </c:pt>
                <c:pt idx="48">
                  <c:v>378.78278114819949</c:v>
                </c:pt>
                <c:pt idx="49">
                  <c:v>375.15401450895763</c:v>
                </c:pt>
                <c:pt idx="50">
                  <c:v>371.63131948995687</c:v>
                </c:pt>
                <c:pt idx="51">
                  <c:v>368.21018676720558</c:v>
                </c:pt>
                <c:pt idx="52">
                  <c:v>364.88635223681399</c:v>
                </c:pt>
                <c:pt idx="53">
                  <c:v>361.65578095845643</c:v>
                </c:pt>
                <c:pt idx="54">
                  <c:v>358.51465231702872</c:v>
                </c:pt>
                <c:pt idx="55">
                  <c:v>355.45934629837893</c:v>
                </c:pt>
                <c:pt idx="56">
                  <c:v>352.48643078479824</c:v>
                </c:pt>
                <c:pt idx="57">
                  <c:v>349.59264978476045</c:v>
                </c:pt>
                <c:pt idx="58">
                  <c:v>346.77491251931775</c:v>
                </c:pt>
                <c:pt idx="59">
                  <c:v>344.03028329468543</c:v>
                </c:pt>
                <c:pt idx="60">
                  <c:v>341.35597209694998</c:v>
                </c:pt>
                <c:pt idx="61">
                  <c:v>338.74932585062373</c:v>
                </c:pt>
                <c:pt idx="62">
                  <c:v>336.20782028797396</c:v>
                </c:pt>
                <c:pt idx="63">
                  <c:v>333.72905238076095</c:v>
                </c:pt>
                <c:pt idx="64">
                  <c:v>331.31073329026731</c:v>
                </c:pt>
                <c:pt idx="65">
                  <c:v>328.95068179534616</c:v>
                </c:pt>
                <c:pt idx="66">
                  <c:v>326.64681816169303</c:v>
                </c:pt>
                <c:pt idx="67">
                  <c:v>324.39715841868929</c:v>
                </c:pt>
                <c:pt idx="68">
                  <c:v>322.19980901303177</c:v>
                </c:pt>
                <c:pt idx="69">
                  <c:v>320.05296181094093</c:v>
                </c:pt>
                <c:pt idx="70">
                  <c:v>317.95488942310044</c:v>
                </c:pt>
                <c:pt idx="71">
                  <c:v>315.90394082861064</c:v>
                </c:pt>
                <c:pt idx="72">
                  <c:v>313.89853727618788</c:v>
                </c:pt>
                <c:pt idx="73">
                  <c:v>311.93716844260507</c:v>
                </c:pt>
                <c:pt idx="74">
                  <c:v>310.01838882998339</c:v>
                </c:pt>
                <c:pt idx="75">
                  <c:v>308.14081438501029</c:v>
                </c:pt>
                <c:pt idx="76">
                  <c:v>306.30311932449951</c:v>
                </c:pt>
                <c:pt idx="77">
                  <c:v>304.50403315293653</c:v>
                </c:pt>
                <c:pt idx="78">
                  <c:v>302.74233785876032</c:v>
                </c:pt>
                <c:pt idx="79">
                  <c:v>301.01686527716481</c:v>
                </c:pt>
                <c:pt idx="80">
                  <c:v>299.32649460812991</c:v>
                </c:pt>
                <c:pt idx="81">
                  <c:v>297.67015007925437</c:v>
                </c:pt>
                <c:pt idx="82">
                  <c:v>296.04679874374375</c:v>
                </c:pt>
                <c:pt idx="83">
                  <c:v>294.45544840462742</c:v>
                </c:pt>
                <c:pt idx="84">
                  <c:v>292.89514565693895</c:v>
                </c:pt>
                <c:pt idx="85">
                  <c:v>291.36497404020105</c:v>
                </c:pt>
                <c:pt idx="86">
                  <c:v>289.8640522941119</c:v>
                </c:pt>
                <c:pt idx="87">
                  <c:v>288.39153271084643</c:v>
                </c:pt>
                <c:pt idx="88">
                  <c:v>286.94659957785188</c:v>
                </c:pt>
                <c:pt idx="89">
                  <c:v>285.52846770545693</c:v>
                </c:pt>
                <c:pt idx="90">
                  <c:v>284.13638103400945</c:v>
                </c:pt>
                <c:pt idx="91">
                  <c:v>282.76961131563394</c:v>
                </c:pt>
                <c:pt idx="92">
                  <c:v>281.42745686602922</c:v>
                </c:pt>
                <c:pt idx="93">
                  <c:v>280.10924138205382</c:v>
                </c:pt>
                <c:pt idx="94">
                  <c:v>278.81431282113004</c:v>
                </c:pt>
                <c:pt idx="95">
                  <c:v>277.54204233876504</c:v>
                </c:pt>
                <c:pt idx="96">
                  <c:v>276.29182328074199</c:v>
                </c:pt>
                <c:pt idx="97">
                  <c:v>275.06307022675969</c:v>
                </c:pt>
                <c:pt idx="98">
                  <c:v>273.85521808251315</c:v>
                </c:pt>
                <c:pt idx="99">
                  <c:v>272.6677212174057</c:v>
                </c:pt>
                <c:pt idx="100">
                  <c:v>271.50005264526658</c:v>
                </c:pt>
                <c:pt idx="101">
                  <c:v>270.35170324561557</c:v>
                </c:pt>
                <c:pt idx="102">
                  <c:v>269.22218102317919</c:v>
                </c:pt>
                <c:pt idx="103">
                  <c:v>268.11101040350093</c:v>
                </c:pt>
                <c:pt idx="104">
                  <c:v>267.01773156263505</c:v>
                </c:pt>
                <c:pt idx="105">
                  <c:v>265.94189978902847</c:v>
                </c:pt>
                <c:pt idx="106">
                  <c:v>264.88308487582458</c:v>
                </c:pt>
                <c:pt idx="107">
                  <c:v>263.84087054192258</c:v>
                </c:pt>
                <c:pt idx="108">
                  <c:v>262.81485388023316</c:v>
                </c:pt>
                <c:pt idx="109">
                  <c:v>261.80464483166941</c:v>
                </c:pt>
                <c:pt idx="110">
                  <c:v>260.80986568348953</c:v>
                </c:pt>
                <c:pt idx="111">
                  <c:v>259.83015059070692</c:v>
                </c:pt>
                <c:pt idx="112">
                  <c:v>258.86514511934371</c:v>
                </c:pt>
                <c:pt idx="113">
                  <c:v>257.91450581038885</c:v>
                </c:pt>
                <c:pt idx="114">
                  <c:v>256.97789976338339</c:v>
                </c:pt>
                <c:pt idx="115">
                  <c:v>256.05500423861736</c:v>
                </c:pt>
                <c:pt idx="116">
                  <c:v>255.14550627698588</c:v>
                </c:pt>
                <c:pt idx="117">
                  <c:v>254.24910233660469</c:v>
                </c:pt>
                <c:pt idx="118">
                  <c:v>253.3654979453369</c:v>
                </c:pt>
                <c:pt idx="119">
                  <c:v>252.49440736842982</c:v>
                </c:pt>
                <c:pt idx="120">
                  <c:v>251.63555329051192</c:v>
                </c:pt>
                <c:pt idx="121">
                  <c:v>250.78866651123195</c:v>
                </c:pt>
                <c:pt idx="122">
                  <c:v>249.95348565387371</c:v>
                </c:pt>
                <c:pt idx="123">
                  <c:v>249.12975688630743</c:v>
                </c:pt>
                <c:pt idx="124">
                  <c:v>248.31723365368052</c:v>
                </c:pt>
                <c:pt idx="125">
                  <c:v>247.51567642227909</c:v>
                </c:pt>
                <c:pt idx="126">
                  <c:v>246.72485243402448</c:v>
                </c:pt>
                <c:pt idx="127">
                  <c:v>245.94453547109802</c:v>
                </c:pt>
                <c:pt idx="128">
                  <c:v>245.1745056302141</c:v>
                </c:pt>
                <c:pt idx="129">
                  <c:v>244.41454910608545</c:v>
                </c:pt>
                <c:pt idx="130">
                  <c:v>243.66445798365382</c:v>
                </c:pt>
                <c:pt idx="131">
                  <c:v>242.9240300386752</c:v>
                </c:pt>
                <c:pt idx="132">
                  <c:v>242.19306854627504</c:v>
                </c:pt>
                <c:pt idx="133">
                  <c:v>241.47138209710758</c:v>
                </c:pt>
                <c:pt idx="134">
                  <c:v>240.75878442077115</c:v>
                </c:pt>
                <c:pt idx="135">
                  <c:v>240.05509421615187</c:v>
                </c:pt>
                <c:pt idx="136">
                  <c:v>239.36013498838054</c:v>
                </c:pt>
                <c:pt idx="137">
                  <c:v>238.67373489210979</c:v>
                </c:pt>
                <c:pt idx="138">
                  <c:v>237.99572658082758</c:v>
                </c:pt>
                <c:pt idx="139">
                  <c:v>237.3259470619389</c:v>
                </c:pt>
                <c:pt idx="140">
                  <c:v>236.664237557365</c:v>
                </c:pt>
                <c:pt idx="141">
                  <c:v>236.01044336941561</c:v>
                </c:pt>
                <c:pt idx="142">
                  <c:v>235.36441375170517</c:v>
                </c:pt>
                <c:pt idx="143">
                  <c:v>234.72600178489662</c:v>
                </c:pt>
                <c:pt idx="144">
                  <c:v>234.09506425706326</c:v>
                </c:pt>
                <c:pt idx="145">
                  <c:v>233.47146154847155</c:v>
                </c:pt>
                <c:pt idx="146">
                  <c:v>232.8550575205978</c:v>
                </c:pt>
                <c:pt idx="147">
                  <c:v>232.24571940919827</c:v>
                </c:pt>
                <c:pt idx="148">
                  <c:v>231.64331772126417</c:v>
                </c:pt>
                <c:pt idx="149">
                  <c:v>231.04772613569747</c:v>
                </c:pt>
                <c:pt idx="150">
                  <c:v>230.45882140755279</c:v>
                </c:pt>
                <c:pt idx="151">
                  <c:v>229.87648327570045</c:v>
                </c:pt>
                <c:pt idx="152">
                  <c:v>229.30059437376633</c:v>
                </c:pt>
                <c:pt idx="153">
                  <c:v>228.73104014421821</c:v>
                </c:pt>
                <c:pt idx="154">
                  <c:v>228.16770875546757</c:v>
                </c:pt>
                <c:pt idx="155">
                  <c:v>227.61049102186678</c:v>
                </c:pt>
                <c:pt idx="156">
                  <c:v>227.05928032648592</c:v>
                </c:pt>
                <c:pt idx="157">
                  <c:v>226.51397254655441</c:v>
                </c:pt>
                <c:pt idx="158">
                  <c:v>225.97446598146698</c:v>
                </c:pt>
                <c:pt idx="159">
                  <c:v>225.44066128324678</c:v>
                </c:pt>
                <c:pt idx="160">
                  <c:v>224.91246138937339</c:v>
                </c:pt>
                <c:pt idx="161">
                  <c:v>224.38977145788076</c:v>
                </c:pt>
                <c:pt idx="162">
                  <c:v>223.87249880463693</c:v>
                </c:pt>
                <c:pt idx="163">
                  <c:v>223.36055284272203</c:v>
                </c:pt>
                <c:pt idx="164">
                  <c:v>222.85384502382274</c:v>
                </c:pt>
                <c:pt idx="165">
                  <c:v>222.35228878156599</c:v>
                </c:pt>
                <c:pt idx="166">
                  <c:v>221.85579947671837</c:v>
                </c:pt>
                <c:pt idx="167">
                  <c:v>221.36429434418054</c:v>
                </c:pt>
                <c:pt idx="168">
                  <c:v>220.87769244170758</c:v>
                </c:pt>
                <c:pt idx="169">
                  <c:v>220.39591460029297</c:v>
                </c:pt>
                <c:pt idx="170">
                  <c:v>219.91888337615066</c:v>
                </c:pt>
                <c:pt idx="171">
                  <c:v>219.44652300423945</c:v>
                </c:pt>
                <c:pt idx="172">
                  <c:v>218.97875935326942</c:v>
                </c:pt>
                <c:pt idx="173">
                  <c:v>218.51551988213834</c:v>
                </c:pt>
                <c:pt idx="174">
                  <c:v>218.05673359774408</c:v>
                </c:pt>
                <c:pt idx="175">
                  <c:v>217.60233101412331</c:v>
                </c:pt>
                <c:pt idx="176">
                  <c:v>217.15224411286934</c:v>
                </c:pt>
                <c:pt idx="177">
                  <c:v>216.70640630478024</c:v>
                </c:pt>
                <c:pt idx="178">
                  <c:v>216.26475239269794</c:v>
                </c:pt>
                <c:pt idx="179">
                  <c:v>215.82721853548961</c:v>
                </c:pt>
                <c:pt idx="180">
                  <c:v>215.39374221313571</c:v>
                </c:pt>
                <c:pt idx="181">
                  <c:v>214.96426219288344</c:v>
                </c:pt>
                <c:pt idx="182">
                  <c:v>214.53871849642758</c:v>
                </c:pt>
                <c:pt idx="183">
                  <c:v>214.11705236808433</c:v>
                </c:pt>
                <c:pt idx="184">
                  <c:v>213.69920624392159</c:v>
                </c:pt>
                <c:pt idx="185">
                  <c:v>213.28512372181461</c:v>
                </c:pt>
                <c:pt idx="186">
                  <c:v>212.87474953239305</c:v>
                </c:pt>
                <c:pt idx="187">
                  <c:v>212.46802951084982</c:v>
                </c:pt>
                <c:pt idx="188">
                  <c:v>212.06491056958248</c:v>
                </c:pt>
                <c:pt idx="189">
                  <c:v>211.66534067163778</c:v>
                </c:pt>
                <c:pt idx="190">
                  <c:v>211.26926880493272</c:v>
                </c:pt>
                <c:pt idx="191">
                  <c:v>210.8766449572264</c:v>
                </c:pt>
                <c:pt idx="192">
                  <c:v>210.48742009181683</c:v>
                </c:pt>
                <c:pt idx="193">
                  <c:v>210.10154612393768</c:v>
                </c:pt>
                <c:pt idx="194">
                  <c:v>209.71897589783345</c:v>
                </c:pt>
                <c:pt idx="195">
                  <c:v>209.33966316448959</c:v>
                </c:pt>
                <c:pt idx="196">
                  <c:v>208.96356255999521</c:v>
                </c:pt>
                <c:pt idx="197">
                  <c:v>208.59062958451935</c:v>
                </c:pt>
                <c:pt idx="198">
                  <c:v>208.22082058187911</c:v>
                </c:pt>
                <c:pt idx="199">
                  <c:v>207.85409271968138</c:v>
                </c:pt>
                <c:pt idx="200">
                  <c:v>207.49040397001929</c:v>
                </c:pt>
                <c:pt idx="201">
                  <c:v>207.12971309070494</c:v>
                </c:pt>
              </c:numCache>
            </c:numRef>
          </c:yVal>
          <c:smooth val="0"/>
          <c:extLst>
            <c:ext xmlns:c16="http://schemas.microsoft.com/office/drawing/2014/chart" uri="{C3380CC4-5D6E-409C-BE32-E72D297353CC}">
              <c16:uniqueId val="{00000000-CAFA-40F6-B956-4CE51D79DB49}"/>
            </c:ext>
          </c:extLst>
        </c:ser>
        <c:ser>
          <c:idx val="3"/>
          <c:order val="1"/>
          <c:tx>
            <c:strRef>
              <c:f>'YPR SSBRPR'!$G$91</c:f>
              <c:strCache>
                <c:ptCount val="1"/>
                <c:pt idx="0">
                  <c:v>F 10%</c:v>
                </c:pt>
              </c:strCache>
            </c:strRef>
          </c:tx>
          <c:spPr>
            <a:ln>
              <a:noFill/>
            </a:ln>
          </c:spPr>
          <c:marker>
            <c:symbol val="circle"/>
            <c:size val="6"/>
          </c:marker>
          <c:dLbls>
            <c:dLbl>
              <c:idx val="0"/>
              <c:layout>
                <c:manualLayout>
                  <c:x val="-4.9379238668991882E-2"/>
                  <c:y val="-4.0686100678093202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CAFA-40F6-B956-4CE51D79DB49}"/>
                </c:ext>
              </c:extLst>
            </c:dLbl>
            <c:spPr>
              <a:noFill/>
              <a:ln>
                <a:noFill/>
              </a:ln>
              <a:effectLst/>
            </c:sp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Lit>
              <c:formatCode>General</c:formatCode>
              <c:ptCount val="1"/>
              <c:pt idx="0">
                <c:v>2</c:v>
              </c:pt>
            </c:numLit>
          </c:xVal>
          <c:yVal>
            <c:numRef>
              <c:f>'YPR SSBRPR'!$H$90:$I$90</c:f>
              <c:numCache>
                <c:formatCode>0.00</c:formatCode>
                <c:ptCount val="2"/>
                <c:pt idx="0">
                  <c:v>94.624351001862493</c:v>
                </c:pt>
              </c:numCache>
            </c:numRef>
          </c:yVal>
          <c:smooth val="0"/>
          <c:extLst>
            <c:ext xmlns:c16="http://schemas.microsoft.com/office/drawing/2014/chart" uri="{C3380CC4-5D6E-409C-BE32-E72D297353CC}">
              <c16:uniqueId val="{00000002-CAFA-40F6-B956-4CE51D79DB49}"/>
            </c:ext>
          </c:extLst>
        </c:ser>
        <c:ser>
          <c:idx val="4"/>
          <c:order val="2"/>
          <c:tx>
            <c:strRef>
              <c:f>'YPR SSBRPR'!$G$89</c:f>
              <c:strCache>
                <c:ptCount val="1"/>
                <c:pt idx="0">
                  <c:v>F 20%</c:v>
                </c:pt>
              </c:strCache>
            </c:strRef>
          </c:tx>
          <c:spPr>
            <a:ln>
              <a:noFill/>
            </a:ln>
          </c:spPr>
          <c:marker>
            <c:symbol val="square"/>
            <c:size val="5"/>
          </c:marker>
          <c:dLbls>
            <c:spPr>
              <a:noFill/>
              <a:ln>
                <a:noFill/>
              </a:ln>
              <a:effectLst/>
            </c:spPr>
            <c:dLblPos val="b"/>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'YPR SSBRPR'!$H$89:$I$89</c:f>
              <c:numCache>
                <c:formatCode>0.00</c:formatCode>
                <c:ptCount val="2"/>
                <c:pt idx="0">
                  <c:v>1.25</c:v>
                </c:pt>
              </c:numCache>
            </c:numRef>
          </c:xVal>
          <c:yVal>
            <c:numRef>
              <c:f>'YPR SSBRPR'!$H$88:$I$88</c:f>
              <c:numCache>
                <c:formatCode>0.00</c:formatCode>
                <c:ptCount val="2"/>
                <c:pt idx="0">
                  <c:v>189.24870200372499</c:v>
                </c:pt>
              </c:numCache>
            </c:numRef>
          </c:yVal>
          <c:smooth val="0"/>
          <c:extLst>
            <c:ext xmlns:c16="http://schemas.microsoft.com/office/drawing/2014/chart" uri="{C3380CC4-5D6E-409C-BE32-E72D297353CC}">
              <c16:uniqueId val="{00000003-CAFA-40F6-B956-4CE51D79DB49}"/>
            </c:ext>
          </c:extLst>
        </c:ser>
        <c:ser>
          <c:idx val="5"/>
          <c:order val="3"/>
          <c:tx>
            <c:strRef>
              <c:f>'YPR SSBRPR'!$G$87</c:f>
              <c:strCache>
                <c:ptCount val="1"/>
                <c:pt idx="0">
                  <c:v>F 30%</c:v>
                </c:pt>
              </c:strCache>
            </c:strRef>
          </c:tx>
          <c:spPr>
            <a:ln>
              <a:solidFill>
                <a:srgbClr val="C0504D"/>
              </a:solidFill>
            </a:ln>
          </c:spPr>
          <c:marker>
            <c:symbol val="triangle"/>
            <c:size val="5"/>
          </c:marker>
          <c:dLbls>
            <c:spPr>
              <a:noFill/>
              <a:ln>
                <a:noFill/>
              </a:ln>
              <a:effectLst/>
            </c:sp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'YPR SSBRPR'!$H$87:$I$87</c:f>
              <c:numCache>
                <c:formatCode>0.00</c:formatCode>
                <c:ptCount val="2"/>
                <c:pt idx="0">
                  <c:v>0.53</c:v>
                </c:pt>
              </c:numCache>
            </c:numRef>
          </c:xVal>
          <c:yVal>
            <c:numRef>
              <c:f>'YPR SSBRPR'!$H$86:$I$86</c:f>
              <c:numCache>
                <c:formatCode>0.00</c:formatCode>
                <c:ptCount val="2"/>
                <c:pt idx="0">
                  <c:v>283.87305300558745</c:v>
                </c:pt>
              </c:numCache>
            </c:numRef>
          </c:yVal>
          <c:smooth val="0"/>
          <c:extLst>
            <c:ext xmlns:c16="http://schemas.microsoft.com/office/drawing/2014/chart" uri="{C3380CC4-5D6E-409C-BE32-E72D297353CC}">
              <c16:uniqueId val="{00000004-CAFA-40F6-B956-4CE51D79DB49}"/>
            </c:ext>
          </c:extLst>
        </c:ser>
        <c:dLbls>
          <c:showLegendKey val="0"/>
          <c:showVal val="0"/>
          <c:showCatName val="0"/>
          <c:showSerName val="0"/>
          <c:showPercent val="0"/>
          <c:showBubbleSize val="0"/>
        </c:dLbls>
        <c:axId val="137715712"/>
        <c:axId val="137717632"/>
      </c:scatterChart>
      <c:valAx>
        <c:axId val="137715712"/>
        <c:scaling>
          <c:orientation val="minMax"/>
          <c:max val="2"/>
        </c:scaling>
        <c:delete val="0"/>
        <c:axPos val="b"/>
        <c:title>
          <c:tx>
            <c:rich>
              <a:bodyPr/>
              <a:lstStyle/>
              <a:p>
                <a:pPr>
                  <a:defRPr/>
                </a:pPr>
                <a:r>
                  <a:rPr lang="en-US"/>
                  <a:t>F (Fishing Mortality)</a:t>
                </a:r>
              </a:p>
            </c:rich>
          </c:tx>
          <c:overlay val="0"/>
        </c:title>
        <c:numFmt formatCode="0.00" sourceLinked="1"/>
        <c:majorTickMark val="out"/>
        <c:minorTickMark val="none"/>
        <c:tickLblPos val="nextTo"/>
        <c:crossAx val="137717632"/>
        <c:crosses val="autoZero"/>
        <c:crossBetween val="midCat"/>
      </c:valAx>
      <c:valAx>
        <c:axId val="137717632"/>
        <c:scaling>
          <c:orientation val="minMax"/>
        </c:scaling>
        <c:delete val="0"/>
        <c:axPos val="l"/>
        <c:title>
          <c:tx>
            <c:rich>
              <a:bodyPr rot="-5400000" vert="horz"/>
              <a:lstStyle/>
              <a:p>
                <a:pPr>
                  <a:defRPr/>
                </a:pPr>
                <a:r>
                  <a:rPr lang="en-US"/>
                  <a:t>SSBPR</a:t>
                </a:r>
              </a:p>
            </c:rich>
          </c:tx>
          <c:overlay val="0"/>
        </c:title>
        <c:numFmt formatCode="0.00" sourceLinked="1"/>
        <c:majorTickMark val="out"/>
        <c:minorTickMark val="none"/>
        <c:tickLblPos val="nextTo"/>
        <c:crossAx val="137715712"/>
        <c:crosses val="autoZero"/>
        <c:crossBetween val="midCat"/>
      </c:valAx>
    </c:plotArea>
    <c:legend>
      <c:legendPos val="r"/>
      <c:overlay val="0"/>
    </c:legend>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chart" Target="../charts/chart9.xml"/></Relationships>
</file>

<file path=xl/drawings/_rels/drawing7.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12" Type="http://schemas.openxmlformats.org/officeDocument/2006/relationships/chart" Target="../charts/chart24.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chart" Target="../charts/chart23.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10</xdr:col>
      <xdr:colOff>600075</xdr:colOff>
      <xdr:row>18</xdr:row>
      <xdr:rowOff>190500</xdr:rowOff>
    </xdr:from>
    <xdr:to>
      <xdr:col>19</xdr:col>
      <xdr:colOff>1247775</xdr:colOff>
      <xdr:row>41</xdr:row>
      <xdr:rowOff>85725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123825</xdr:colOff>
      <xdr:row>7</xdr:row>
      <xdr:rowOff>161925</xdr:rowOff>
    </xdr:from>
    <xdr:to>
      <xdr:col>7</xdr:col>
      <xdr:colOff>381000</xdr:colOff>
      <xdr:row>9</xdr:row>
      <xdr:rowOff>142875</xdr:rowOff>
    </xdr:to>
    <xdr:pic>
      <xdr:nvPicPr>
        <xdr:cNvPr id="4" name="Picture 4">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57350" y="1476375"/>
          <a:ext cx="2895600" cy="36195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600075</xdr:colOff>
      <xdr:row>18</xdr:row>
      <xdr:rowOff>190500</xdr:rowOff>
    </xdr:from>
    <xdr:to>
      <xdr:col>19</xdr:col>
      <xdr:colOff>1247775</xdr:colOff>
      <xdr:row>41</xdr:row>
      <xdr:rowOff>85725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66675</xdr:colOff>
      <xdr:row>7</xdr:row>
      <xdr:rowOff>152400</xdr:rowOff>
    </xdr:from>
    <xdr:to>
      <xdr:col>7</xdr:col>
      <xdr:colOff>390525</xdr:colOff>
      <xdr:row>9</xdr:row>
      <xdr:rowOff>133350</xdr:rowOff>
    </xdr:to>
    <xdr:pic>
      <xdr:nvPicPr>
        <xdr:cNvPr id="8196" name="Picture 4">
          <a:extLst>
            <a:ext uri="{FF2B5EF4-FFF2-40B4-BE49-F238E27FC236}">
              <a16:creationId xmlns:a16="http://schemas.microsoft.com/office/drawing/2014/main" id="{00000000-0008-0000-0100-000004200000}"/>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600200" y="1466850"/>
          <a:ext cx="2895600" cy="36195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57150</xdr:colOff>
      <xdr:row>17</xdr:row>
      <xdr:rowOff>19050</xdr:rowOff>
    </xdr:from>
    <xdr:to>
      <xdr:col>20</xdr:col>
      <xdr:colOff>361950</xdr:colOff>
      <xdr:row>35</xdr:row>
      <xdr:rowOff>28575</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314325</xdr:colOff>
      <xdr:row>8</xdr:row>
      <xdr:rowOff>47625</xdr:rowOff>
    </xdr:from>
    <xdr:to>
      <xdr:col>6</xdr:col>
      <xdr:colOff>161925</xdr:colOff>
      <xdr:row>9</xdr:row>
      <xdr:rowOff>171450</xdr:rowOff>
    </xdr:to>
    <xdr:pic>
      <xdr:nvPicPr>
        <xdr:cNvPr id="11268" name="Picture 4">
          <a:extLst>
            <a:ext uri="{FF2B5EF4-FFF2-40B4-BE49-F238E27FC236}">
              <a16:creationId xmlns:a16="http://schemas.microsoft.com/office/drawing/2014/main" id="{00000000-0008-0000-0200-0000042C0000}"/>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362200" y="1581150"/>
          <a:ext cx="1085850" cy="3143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xdr:from>
      <xdr:col>11</xdr:col>
      <xdr:colOff>9525</xdr:colOff>
      <xdr:row>18</xdr:row>
      <xdr:rowOff>190500</xdr:rowOff>
    </xdr:from>
    <xdr:to>
      <xdr:col>20</xdr:col>
      <xdr:colOff>47625</xdr:colOff>
      <xdr:row>39</xdr:row>
      <xdr:rowOff>123825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304800</xdr:colOff>
      <xdr:row>11</xdr:row>
      <xdr:rowOff>47625</xdr:rowOff>
    </xdr:from>
    <xdr:to>
      <xdr:col>7</xdr:col>
      <xdr:colOff>485775</xdr:colOff>
      <xdr:row>12</xdr:row>
      <xdr:rowOff>180975</xdr:rowOff>
    </xdr:to>
    <xdr:pic>
      <xdr:nvPicPr>
        <xdr:cNvPr id="12292" name="Picture 4">
          <a:extLst>
            <a:ext uri="{FF2B5EF4-FFF2-40B4-BE49-F238E27FC236}">
              <a16:creationId xmlns:a16="http://schemas.microsoft.com/office/drawing/2014/main" id="{00000000-0008-0000-0300-000004300000}"/>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133600" y="2152650"/>
          <a:ext cx="2857500" cy="32385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xdr:from>
      <xdr:col>11</xdr:col>
      <xdr:colOff>9525</xdr:colOff>
      <xdr:row>17</xdr:row>
      <xdr:rowOff>190500</xdr:rowOff>
    </xdr:from>
    <xdr:to>
      <xdr:col>20</xdr:col>
      <xdr:colOff>47625</xdr:colOff>
      <xdr:row>38</xdr:row>
      <xdr:rowOff>123825</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266700</xdr:colOff>
      <xdr:row>9</xdr:row>
      <xdr:rowOff>9525</xdr:rowOff>
    </xdr:from>
    <xdr:to>
      <xdr:col>7</xdr:col>
      <xdr:colOff>485775</xdr:colOff>
      <xdr:row>10</xdr:row>
      <xdr:rowOff>142875</xdr:rowOff>
    </xdr:to>
    <xdr:pic>
      <xdr:nvPicPr>
        <xdr:cNvPr id="13315" name="Picture 3">
          <a:extLst>
            <a:ext uri="{FF2B5EF4-FFF2-40B4-BE49-F238E27FC236}">
              <a16:creationId xmlns:a16="http://schemas.microsoft.com/office/drawing/2014/main" id="{00000000-0008-0000-0400-000003340000}"/>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095500" y="1733550"/>
          <a:ext cx="2847975" cy="32385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xdr:from>
      <xdr:col>11</xdr:col>
      <xdr:colOff>600074</xdr:colOff>
      <xdr:row>17</xdr:row>
      <xdr:rowOff>19050</xdr:rowOff>
    </xdr:from>
    <xdr:to>
      <xdr:col>19</xdr:col>
      <xdr:colOff>552449</xdr:colOff>
      <xdr:row>34</xdr:row>
      <xdr:rowOff>152400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600075</xdr:colOff>
      <xdr:row>55</xdr:row>
      <xdr:rowOff>28575</xdr:rowOff>
    </xdr:from>
    <xdr:to>
      <xdr:col>19</xdr:col>
      <xdr:colOff>542925</xdr:colOff>
      <xdr:row>72</xdr:row>
      <xdr:rowOff>123825</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19050</xdr:colOff>
      <xdr:row>55</xdr:row>
      <xdr:rowOff>9525</xdr:rowOff>
    </xdr:from>
    <xdr:to>
      <xdr:col>28</xdr:col>
      <xdr:colOff>571500</xdr:colOff>
      <xdr:row>72</xdr:row>
      <xdr:rowOff>104775</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19050</xdr:colOff>
      <xdr:row>16</xdr:row>
      <xdr:rowOff>180975</xdr:rowOff>
    </xdr:from>
    <xdr:to>
      <xdr:col>28</xdr:col>
      <xdr:colOff>581025</xdr:colOff>
      <xdr:row>34</xdr:row>
      <xdr:rowOff>123825</xdr:rowOff>
    </xdr:to>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209550</xdr:colOff>
      <xdr:row>7</xdr:row>
      <xdr:rowOff>133350</xdr:rowOff>
    </xdr:from>
    <xdr:to>
      <xdr:col>24</xdr:col>
      <xdr:colOff>485775</xdr:colOff>
      <xdr:row>9</xdr:row>
      <xdr:rowOff>57150</xdr:rowOff>
    </xdr:to>
    <xdr:pic>
      <xdr:nvPicPr>
        <xdr:cNvPr id="5128" name="Picture 8">
          <a:extLst>
            <a:ext uri="{FF2B5EF4-FFF2-40B4-BE49-F238E27FC236}">
              <a16:creationId xmlns:a16="http://schemas.microsoft.com/office/drawing/2014/main" id="{00000000-0008-0000-0500-000008140000}"/>
            </a:ext>
          </a:extLst>
        </xdr:cNvPr>
        <xdr:cNvPicPr>
          <a:picLocks noChangeAspect="1" noChangeArrowheads="1"/>
        </xdr:cNvPicPr>
      </xdr:nvPicPr>
      <xdr:blipFill>
        <a:blip xmlns:r="http://schemas.openxmlformats.org/officeDocument/2006/relationships" r:embed="rId5" cstate="print">
          <a:clrChange>
            <a:clrFrom>
              <a:srgbClr val="FFFFFF"/>
            </a:clrFrom>
            <a:clrTo>
              <a:srgbClr val="FFFFFF">
                <a:alpha val="0"/>
              </a:srgbClr>
            </a:clrTo>
          </a:clrChange>
        </a:blip>
        <a:srcRect/>
        <a:stretch>
          <a:fillRect/>
        </a:stretch>
      </xdr:blipFill>
      <xdr:spPr bwMode="auto">
        <a:xfrm>
          <a:off x="13315950" y="1476375"/>
          <a:ext cx="1495425" cy="304800"/>
        </a:xfrm>
        <a:prstGeom prst="rect">
          <a:avLst/>
        </a:prstGeom>
        <a:noFill/>
      </xdr:spPr>
    </xdr:pic>
    <xdr:clientData/>
  </xdr:twoCellAnchor>
  <xdr:twoCellAnchor>
    <xdr:from>
      <xdr:col>26</xdr:col>
      <xdr:colOff>419100</xdr:colOff>
      <xdr:row>7</xdr:row>
      <xdr:rowOff>123825</xdr:rowOff>
    </xdr:from>
    <xdr:to>
      <xdr:col>30</xdr:col>
      <xdr:colOff>495300</xdr:colOff>
      <xdr:row>9</xdr:row>
      <xdr:rowOff>66675</xdr:rowOff>
    </xdr:to>
    <xdr:pic>
      <xdr:nvPicPr>
        <xdr:cNvPr id="5129" name="Picture 9">
          <a:extLst>
            <a:ext uri="{FF2B5EF4-FFF2-40B4-BE49-F238E27FC236}">
              <a16:creationId xmlns:a16="http://schemas.microsoft.com/office/drawing/2014/main" id="{00000000-0008-0000-0500-000009140000}"/>
            </a:ext>
          </a:extLst>
        </xdr:cNvPr>
        <xdr:cNvPicPr>
          <a:picLocks noChangeAspect="1" noChangeArrowheads="1"/>
        </xdr:cNvPicPr>
      </xdr:nvPicPr>
      <xdr:blipFill>
        <a:blip xmlns:r="http://schemas.openxmlformats.org/officeDocument/2006/relationships" r:embed="rId6" cstate="print">
          <a:clrChange>
            <a:clrFrom>
              <a:srgbClr val="FFFFFF"/>
            </a:clrFrom>
            <a:clrTo>
              <a:srgbClr val="FFFFFF">
                <a:alpha val="0"/>
              </a:srgbClr>
            </a:clrTo>
          </a:clrChange>
        </a:blip>
        <a:srcRect/>
        <a:stretch>
          <a:fillRect/>
        </a:stretch>
      </xdr:blipFill>
      <xdr:spPr bwMode="auto">
        <a:xfrm>
          <a:off x="15963900" y="1466850"/>
          <a:ext cx="2514600" cy="32385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xdr:from>
      <xdr:col>11</xdr:col>
      <xdr:colOff>95250</xdr:colOff>
      <xdr:row>23</xdr:row>
      <xdr:rowOff>0</xdr:rowOff>
    </xdr:from>
    <xdr:to>
      <xdr:col>19</xdr:col>
      <xdr:colOff>571500</xdr:colOff>
      <xdr:row>45</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295275</xdr:colOff>
      <xdr:row>9</xdr:row>
      <xdr:rowOff>0</xdr:rowOff>
    </xdr:from>
    <xdr:to>
      <xdr:col>7</xdr:col>
      <xdr:colOff>247650</xdr:colOff>
      <xdr:row>10</xdr:row>
      <xdr:rowOff>161925</xdr:rowOff>
    </xdr:to>
    <xdr:pic>
      <xdr:nvPicPr>
        <xdr:cNvPr id="16385" name="Picture 1">
          <a:extLst>
            <a:ext uri="{FF2B5EF4-FFF2-40B4-BE49-F238E27FC236}">
              <a16:creationId xmlns:a16="http://schemas.microsoft.com/office/drawing/2014/main" id="{00000000-0008-0000-0600-000001400000}"/>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2162175" y="1724025"/>
          <a:ext cx="2609850" cy="352425"/>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xdr:from>
      <xdr:col>6</xdr:col>
      <xdr:colOff>600075</xdr:colOff>
      <xdr:row>9</xdr:row>
      <xdr:rowOff>180975</xdr:rowOff>
    </xdr:from>
    <xdr:to>
      <xdr:col>16</xdr:col>
      <xdr:colOff>19051</xdr:colOff>
      <xdr:row>33</xdr:row>
      <xdr:rowOff>180975</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11</xdr:col>
      <xdr:colOff>47625</xdr:colOff>
      <xdr:row>62</xdr:row>
      <xdr:rowOff>9524</xdr:rowOff>
    </xdr:from>
    <xdr:to>
      <xdr:col>19</xdr:col>
      <xdr:colOff>600075</xdr:colOff>
      <xdr:row>81</xdr:row>
      <xdr:rowOff>142874</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9525</xdr:colOff>
      <xdr:row>1</xdr:row>
      <xdr:rowOff>9525</xdr:rowOff>
    </xdr:from>
    <xdr:to>
      <xdr:col>8</xdr:col>
      <xdr:colOff>314325</xdr:colOff>
      <xdr:row>15</xdr:row>
      <xdr:rowOff>180975</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xdr:colOff>
      <xdr:row>17</xdr:row>
      <xdr:rowOff>0</xdr:rowOff>
    </xdr:from>
    <xdr:to>
      <xdr:col>8</xdr:col>
      <xdr:colOff>314325</xdr:colOff>
      <xdr:row>32</xdr:row>
      <xdr:rowOff>0</xdr:rowOff>
    </xdr:to>
    <xdr:graphicFrame macro="">
      <xdr:nvGraphicFramePr>
        <xdr:cNvPr id="3" name="Chart 2">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17</xdr:row>
      <xdr:rowOff>9524</xdr:rowOff>
    </xdr:from>
    <xdr:to>
      <xdr:col>17</xdr:col>
      <xdr:colOff>304800</xdr:colOff>
      <xdr:row>32</xdr:row>
      <xdr:rowOff>0</xdr:rowOff>
    </xdr:to>
    <xdr:graphicFrame macro="">
      <xdr:nvGraphicFramePr>
        <xdr:cNvPr id="5" name="Chart 4">
          <a:extLst>
            <a:ext uri="{FF2B5EF4-FFF2-40B4-BE49-F238E27FC236}">
              <a16:creationId xmlns:a16="http://schemas.microsoft.com/office/drawing/2014/main" id="{00000000-0008-0000-09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600075</xdr:colOff>
      <xdr:row>33</xdr:row>
      <xdr:rowOff>19050</xdr:rowOff>
    </xdr:from>
    <xdr:to>
      <xdr:col>17</xdr:col>
      <xdr:colOff>295275</xdr:colOff>
      <xdr:row>47</xdr:row>
      <xdr:rowOff>95250</xdr:rowOff>
    </xdr:to>
    <xdr:graphicFrame macro="">
      <xdr:nvGraphicFramePr>
        <xdr:cNvPr id="6" name="Chart 5">
          <a:extLst>
            <a:ext uri="{FF2B5EF4-FFF2-40B4-BE49-F238E27FC236}">
              <a16:creationId xmlns:a16="http://schemas.microsoft.com/office/drawing/2014/main" id="{00000000-0008-0000-09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19050</xdr:colOff>
      <xdr:row>65</xdr:row>
      <xdr:rowOff>0</xdr:rowOff>
    </xdr:from>
    <xdr:to>
      <xdr:col>8</xdr:col>
      <xdr:colOff>323850</xdr:colOff>
      <xdr:row>79</xdr:row>
      <xdr:rowOff>76200</xdr:rowOff>
    </xdr:to>
    <xdr:graphicFrame macro="">
      <xdr:nvGraphicFramePr>
        <xdr:cNvPr id="7" name="Chart 6">
          <a:extLst>
            <a:ext uri="{FF2B5EF4-FFF2-40B4-BE49-F238E27FC236}">
              <a16:creationId xmlns:a16="http://schemas.microsoft.com/office/drawing/2014/main" id="{00000000-0008-0000-09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600075</xdr:colOff>
      <xdr:row>49</xdr:row>
      <xdr:rowOff>0</xdr:rowOff>
    </xdr:from>
    <xdr:to>
      <xdr:col>17</xdr:col>
      <xdr:colOff>295275</xdr:colOff>
      <xdr:row>63</xdr:row>
      <xdr:rowOff>76200</xdr:rowOff>
    </xdr:to>
    <xdr:graphicFrame macro="">
      <xdr:nvGraphicFramePr>
        <xdr:cNvPr id="8" name="Chart 7">
          <a:extLst>
            <a:ext uri="{FF2B5EF4-FFF2-40B4-BE49-F238E27FC236}">
              <a16:creationId xmlns:a16="http://schemas.microsoft.com/office/drawing/2014/main" id="{00000000-0008-0000-09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9525</xdr:colOff>
      <xdr:row>48</xdr:row>
      <xdr:rowOff>180975</xdr:rowOff>
    </xdr:from>
    <xdr:to>
      <xdr:col>8</xdr:col>
      <xdr:colOff>314325</xdr:colOff>
      <xdr:row>63</xdr:row>
      <xdr:rowOff>66675</xdr:rowOff>
    </xdr:to>
    <xdr:graphicFrame macro="">
      <xdr:nvGraphicFramePr>
        <xdr:cNvPr id="9" name="Chart 8">
          <a:extLst>
            <a:ext uri="{FF2B5EF4-FFF2-40B4-BE49-F238E27FC236}">
              <a16:creationId xmlns:a16="http://schemas.microsoft.com/office/drawing/2014/main" id="{00000000-0008-0000-09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19050</xdr:colOff>
      <xdr:row>65</xdr:row>
      <xdr:rowOff>28575</xdr:rowOff>
    </xdr:from>
    <xdr:to>
      <xdr:col>17</xdr:col>
      <xdr:colOff>323850</xdr:colOff>
      <xdr:row>79</xdr:row>
      <xdr:rowOff>104775</xdr:rowOff>
    </xdr:to>
    <xdr:graphicFrame macro="">
      <xdr:nvGraphicFramePr>
        <xdr:cNvPr id="10" name="Chart 9">
          <a:extLst>
            <a:ext uri="{FF2B5EF4-FFF2-40B4-BE49-F238E27FC236}">
              <a16:creationId xmlns:a16="http://schemas.microsoft.com/office/drawing/2014/main" id="{00000000-0008-0000-09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9525</xdr:colOff>
      <xdr:row>1</xdr:row>
      <xdr:rowOff>9525</xdr:rowOff>
    </xdr:from>
    <xdr:to>
      <xdr:col>17</xdr:col>
      <xdr:colOff>314325</xdr:colOff>
      <xdr:row>15</xdr:row>
      <xdr:rowOff>180975</xdr:rowOff>
    </xdr:to>
    <xdr:graphicFrame macro="">
      <xdr:nvGraphicFramePr>
        <xdr:cNvPr id="11" name="Chart 10">
          <a:extLst>
            <a:ext uri="{FF2B5EF4-FFF2-40B4-BE49-F238E27FC236}">
              <a16:creationId xmlns:a16="http://schemas.microsoft.com/office/drawing/2014/main" id="{00000000-0008-0000-09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33</xdr:row>
      <xdr:rowOff>0</xdr:rowOff>
    </xdr:from>
    <xdr:to>
      <xdr:col>8</xdr:col>
      <xdr:colOff>304800</xdr:colOff>
      <xdr:row>47</xdr:row>
      <xdr:rowOff>180976</xdr:rowOff>
    </xdr:to>
    <xdr:graphicFrame macro="">
      <xdr:nvGraphicFramePr>
        <xdr:cNvPr id="12" name="Chart 11">
          <a:extLst>
            <a:ext uri="{FF2B5EF4-FFF2-40B4-BE49-F238E27FC236}">
              <a16:creationId xmlns:a16="http://schemas.microsoft.com/office/drawing/2014/main" id="{00000000-0008-0000-09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1</xdr:colOff>
      <xdr:row>81</xdr:row>
      <xdr:rowOff>9525</xdr:rowOff>
    </xdr:from>
    <xdr:to>
      <xdr:col>8</xdr:col>
      <xdr:colOff>361951</xdr:colOff>
      <xdr:row>95</xdr:row>
      <xdr:rowOff>161925</xdr:rowOff>
    </xdr:to>
    <xdr:graphicFrame macro="">
      <xdr:nvGraphicFramePr>
        <xdr:cNvPr id="15" name="Chart 14">
          <a:extLst>
            <a:ext uri="{FF2B5EF4-FFF2-40B4-BE49-F238E27FC236}">
              <a16:creationId xmlns:a16="http://schemas.microsoft.com/office/drawing/2014/main" id="{00000000-0008-0000-09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1</xdr:colOff>
      <xdr:row>81</xdr:row>
      <xdr:rowOff>9525</xdr:rowOff>
    </xdr:from>
    <xdr:to>
      <xdr:col>17</xdr:col>
      <xdr:colOff>361951</xdr:colOff>
      <xdr:row>95</xdr:row>
      <xdr:rowOff>161925</xdr:rowOff>
    </xdr:to>
    <xdr:graphicFrame macro="">
      <xdr:nvGraphicFramePr>
        <xdr:cNvPr id="16" name="Chart 15">
          <a:extLst>
            <a:ext uri="{FF2B5EF4-FFF2-40B4-BE49-F238E27FC236}">
              <a16:creationId xmlns:a16="http://schemas.microsoft.com/office/drawing/2014/main" id="{00000000-0008-0000-09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38"/>
  <sheetViews>
    <sheetView tabSelected="1" workbookViewId="0">
      <selection activeCell="K20" sqref="K20"/>
    </sheetView>
  </sheetViews>
  <sheetFormatPr defaultRowHeight="15" x14ac:dyDescent="0.25"/>
  <cols>
    <col min="1" max="1" width="2.28515625" customWidth="1"/>
    <col min="2" max="2" width="11.5703125" customWidth="1"/>
    <col min="5" max="5" width="13.7109375" customWidth="1"/>
    <col min="6" max="6" width="12.42578125" bestFit="1" customWidth="1"/>
    <col min="7" max="7" width="4.28515625" customWidth="1"/>
    <col min="20" max="20" width="18.85546875" customWidth="1"/>
  </cols>
  <sheetData>
    <row r="1" spans="2:20" ht="11.25" customHeight="1" thickBot="1" x14ac:dyDescent="0.3"/>
    <row r="2" spans="2:20" ht="15" customHeight="1" x14ac:dyDescent="0.25">
      <c r="B2" s="215" t="s">
        <v>152</v>
      </c>
      <c r="C2" s="215"/>
      <c r="D2" s="215"/>
      <c r="E2" s="215"/>
      <c r="F2" s="215"/>
      <c r="G2" s="215"/>
      <c r="H2" s="215"/>
      <c r="I2" s="215"/>
      <c r="J2" s="215"/>
      <c r="L2" s="199" t="s">
        <v>86</v>
      </c>
      <c r="M2" s="200"/>
      <c r="N2" s="200"/>
      <c r="O2" s="200"/>
      <c r="P2" s="200"/>
      <c r="Q2" s="200"/>
      <c r="R2" s="200"/>
      <c r="S2" s="200"/>
      <c r="T2" s="201"/>
    </row>
    <row r="3" spans="2:20" ht="21.75" customHeight="1" x14ac:dyDescent="0.25">
      <c r="B3" s="216"/>
      <c r="C3" s="216"/>
      <c r="D3" s="216"/>
      <c r="E3" s="216"/>
      <c r="F3" s="216"/>
      <c r="G3" s="216"/>
      <c r="H3" s="216"/>
      <c r="I3" s="216"/>
      <c r="J3" s="216"/>
      <c r="L3" s="202"/>
      <c r="M3" s="203"/>
      <c r="N3" s="203"/>
      <c r="O3" s="203"/>
      <c r="P3" s="203"/>
      <c r="Q3" s="203"/>
      <c r="R3" s="203"/>
      <c r="S3" s="203"/>
      <c r="T3" s="204"/>
    </row>
    <row r="4" spans="2:20" x14ac:dyDescent="0.25">
      <c r="B4" s="216"/>
      <c r="C4" s="216"/>
      <c r="D4" s="216"/>
      <c r="E4" s="216"/>
      <c r="F4" s="216"/>
      <c r="G4" s="216"/>
      <c r="H4" s="216"/>
      <c r="I4" s="216"/>
      <c r="J4" s="216"/>
      <c r="L4" s="202"/>
      <c r="M4" s="203"/>
      <c r="N4" s="203"/>
      <c r="O4" s="203"/>
      <c r="P4" s="203"/>
      <c r="Q4" s="203"/>
      <c r="R4" s="203"/>
      <c r="S4" s="203"/>
      <c r="T4" s="204"/>
    </row>
    <row r="5" spans="2:20" x14ac:dyDescent="0.25">
      <c r="B5" s="216"/>
      <c r="C5" s="216"/>
      <c r="D5" s="216"/>
      <c r="E5" s="216"/>
      <c r="F5" s="216"/>
      <c r="G5" s="216"/>
      <c r="H5" s="216"/>
      <c r="I5" s="216"/>
      <c r="J5" s="216"/>
      <c r="L5" s="202"/>
      <c r="M5" s="203"/>
      <c r="N5" s="203"/>
      <c r="O5" s="203"/>
      <c r="P5" s="203"/>
      <c r="Q5" s="203"/>
      <c r="R5" s="203"/>
      <c r="S5" s="203"/>
      <c r="T5" s="204"/>
    </row>
    <row r="6" spans="2:20" ht="10.5" customHeight="1" x14ac:dyDescent="0.25">
      <c r="B6" s="216"/>
      <c r="C6" s="216"/>
      <c r="D6" s="216"/>
      <c r="E6" s="216"/>
      <c r="F6" s="216"/>
      <c r="G6" s="216"/>
      <c r="H6" s="216"/>
      <c r="I6" s="216"/>
      <c r="J6" s="216"/>
      <c r="L6" s="202"/>
      <c r="M6" s="203"/>
      <c r="N6" s="203"/>
      <c r="O6" s="203"/>
      <c r="P6" s="203"/>
      <c r="Q6" s="203"/>
      <c r="R6" s="203"/>
      <c r="S6" s="203"/>
      <c r="T6" s="204"/>
    </row>
    <row r="7" spans="2:20" x14ac:dyDescent="0.25">
      <c r="B7" s="216"/>
      <c r="C7" s="216"/>
      <c r="D7" s="216"/>
      <c r="E7" s="216"/>
      <c r="F7" s="216"/>
      <c r="G7" s="216"/>
      <c r="H7" s="216"/>
      <c r="I7" s="216"/>
      <c r="J7" s="216"/>
      <c r="L7" s="202"/>
      <c r="M7" s="203"/>
      <c r="N7" s="203"/>
      <c r="O7" s="203"/>
      <c r="P7" s="203"/>
      <c r="Q7" s="203"/>
      <c r="R7" s="203"/>
      <c r="S7" s="203"/>
      <c r="T7" s="204"/>
    </row>
    <row r="8" spans="2:20" x14ac:dyDescent="0.25">
      <c r="B8" s="216"/>
      <c r="C8" s="216"/>
      <c r="D8" s="216"/>
      <c r="E8" s="216"/>
      <c r="F8" s="216"/>
      <c r="G8" s="216"/>
      <c r="H8" s="216"/>
      <c r="I8" s="216"/>
      <c r="J8" s="216"/>
      <c r="L8" s="202"/>
      <c r="M8" s="203"/>
      <c r="N8" s="203"/>
      <c r="O8" s="203"/>
      <c r="P8" s="203"/>
      <c r="Q8" s="203"/>
      <c r="R8" s="203"/>
      <c r="S8" s="203"/>
      <c r="T8" s="204"/>
    </row>
    <row r="9" spans="2:20" x14ac:dyDescent="0.25">
      <c r="B9" s="216"/>
      <c r="C9" s="216"/>
      <c r="D9" s="216"/>
      <c r="E9" s="216"/>
      <c r="F9" s="216"/>
      <c r="G9" s="216"/>
      <c r="H9" s="216"/>
      <c r="I9" s="216"/>
      <c r="J9" s="216"/>
      <c r="L9" s="202"/>
      <c r="M9" s="203"/>
      <c r="N9" s="203"/>
      <c r="O9" s="203"/>
      <c r="P9" s="203"/>
      <c r="Q9" s="203"/>
      <c r="R9" s="203"/>
      <c r="S9" s="203"/>
      <c r="T9" s="204"/>
    </row>
    <row r="10" spans="2:20" x14ac:dyDescent="0.25">
      <c r="B10" s="216"/>
      <c r="C10" s="216"/>
      <c r="D10" s="216"/>
      <c r="E10" s="216"/>
      <c r="F10" s="216"/>
      <c r="G10" s="216"/>
      <c r="H10" s="216"/>
      <c r="I10" s="216"/>
      <c r="J10" s="216"/>
      <c r="L10" s="202"/>
      <c r="M10" s="203"/>
      <c r="N10" s="203"/>
      <c r="O10" s="203"/>
      <c r="P10" s="203"/>
      <c r="Q10" s="203"/>
      <c r="R10" s="203"/>
      <c r="S10" s="203"/>
      <c r="T10" s="204"/>
    </row>
    <row r="11" spans="2:20" x14ac:dyDescent="0.25">
      <c r="B11" s="59"/>
      <c r="C11" s="59"/>
      <c r="D11" s="59"/>
      <c r="E11" s="59"/>
      <c r="F11" s="59"/>
      <c r="G11" s="59"/>
      <c r="H11" s="59"/>
      <c r="I11" s="59"/>
      <c r="J11" s="59"/>
      <c r="L11" s="202"/>
      <c r="M11" s="203"/>
      <c r="N11" s="203"/>
      <c r="O11" s="203"/>
      <c r="P11" s="203"/>
      <c r="Q11" s="203"/>
      <c r="R11" s="203"/>
      <c r="S11" s="203"/>
      <c r="T11" s="204"/>
    </row>
    <row r="12" spans="2:20" ht="15.75" thickBot="1" x14ac:dyDescent="0.3">
      <c r="B12" s="78"/>
      <c r="C12" s="78"/>
      <c r="D12" s="78"/>
      <c r="E12" s="78"/>
      <c r="F12" s="78"/>
      <c r="G12" s="78"/>
      <c r="H12" s="78"/>
      <c r="I12" s="78"/>
      <c r="J12" s="78"/>
      <c r="L12" s="202"/>
      <c r="M12" s="203"/>
      <c r="N12" s="203"/>
      <c r="O12" s="203"/>
      <c r="P12" s="203"/>
      <c r="Q12" s="203"/>
      <c r="R12" s="203"/>
      <c r="S12" s="203"/>
      <c r="T12" s="204"/>
    </row>
    <row r="13" spans="2:20" ht="15.75" thickTop="1" x14ac:dyDescent="0.25">
      <c r="B13" s="212" t="s">
        <v>74</v>
      </c>
      <c r="C13" s="213"/>
      <c r="D13" s="214"/>
      <c r="E13" s="78"/>
      <c r="F13" s="91" t="s">
        <v>84</v>
      </c>
      <c r="G13" s="78"/>
      <c r="H13" s="78"/>
      <c r="I13" s="78"/>
      <c r="J13" s="78"/>
      <c r="L13" s="202"/>
      <c r="M13" s="203"/>
      <c r="N13" s="203"/>
      <c r="O13" s="203"/>
      <c r="P13" s="203"/>
      <c r="Q13" s="203"/>
      <c r="R13" s="203"/>
      <c r="S13" s="203"/>
      <c r="T13" s="204"/>
    </row>
    <row r="14" spans="2:20" ht="15.75" thickBot="1" x14ac:dyDescent="0.3">
      <c r="B14" s="80" t="s">
        <v>2</v>
      </c>
      <c r="C14" s="79" t="s">
        <v>3</v>
      </c>
      <c r="D14" s="81" t="s">
        <v>4</v>
      </c>
      <c r="E14" s="78"/>
      <c r="F14" s="92">
        <f>SUM(E21:E34)</f>
        <v>6.3174268810026035</v>
      </c>
      <c r="G14" s="78"/>
      <c r="H14" s="78"/>
      <c r="I14" s="78"/>
      <c r="J14" s="78"/>
      <c r="L14" s="202"/>
      <c r="M14" s="203"/>
      <c r="N14" s="203"/>
      <c r="O14" s="203"/>
      <c r="P14" s="203"/>
      <c r="Q14" s="203"/>
      <c r="R14" s="203"/>
      <c r="S14" s="203"/>
      <c r="T14" s="204"/>
    </row>
    <row r="15" spans="2:20" x14ac:dyDescent="0.25">
      <c r="B15" s="82" t="s">
        <v>5</v>
      </c>
      <c r="C15" s="13">
        <v>0.5</v>
      </c>
      <c r="D15" s="85">
        <v>0.22315866671761878</v>
      </c>
      <c r="E15" s="78"/>
      <c r="F15" s="78"/>
      <c r="G15" s="78"/>
      <c r="H15" s="78"/>
      <c r="I15" s="78"/>
      <c r="J15" s="78"/>
      <c r="L15" s="202"/>
      <c r="M15" s="203"/>
      <c r="N15" s="203"/>
      <c r="O15" s="203"/>
      <c r="P15" s="203"/>
      <c r="Q15" s="203"/>
      <c r="R15" s="203"/>
      <c r="S15" s="203"/>
      <c r="T15" s="204"/>
    </row>
    <row r="16" spans="2:20" x14ac:dyDescent="0.25">
      <c r="B16" s="82" t="s">
        <v>6</v>
      </c>
      <c r="C16" s="13">
        <v>35</v>
      </c>
      <c r="D16" s="85">
        <v>38.098386927580798</v>
      </c>
      <c r="E16" s="78"/>
      <c r="F16" s="78"/>
      <c r="G16" s="78"/>
      <c r="H16" s="78"/>
      <c r="I16" s="78"/>
      <c r="J16" s="78"/>
      <c r="L16" s="202"/>
      <c r="M16" s="203"/>
      <c r="N16" s="203"/>
      <c r="O16" s="203"/>
      <c r="P16" s="203"/>
      <c r="Q16" s="203"/>
      <c r="R16" s="203"/>
      <c r="S16" s="203"/>
      <c r="T16" s="204"/>
    </row>
    <row r="17" spans="2:20" ht="16.5" thickBot="1" x14ac:dyDescent="0.35">
      <c r="B17" s="83" t="s">
        <v>7</v>
      </c>
      <c r="C17" s="84">
        <v>-0.5</v>
      </c>
      <c r="D17" s="86">
        <v>-0.55538369203290838</v>
      </c>
      <c r="E17" s="78"/>
      <c r="F17" s="78"/>
      <c r="G17" s="78"/>
      <c r="H17" s="78"/>
      <c r="I17" s="78"/>
      <c r="J17" s="78"/>
      <c r="L17" s="202"/>
      <c r="M17" s="203"/>
      <c r="N17" s="203"/>
      <c r="O17" s="203"/>
      <c r="P17" s="203"/>
      <c r="Q17" s="203"/>
      <c r="R17" s="203"/>
      <c r="S17" s="203"/>
      <c r="T17" s="204"/>
    </row>
    <row r="18" spans="2:20" ht="16.5" thickTop="1" thickBot="1" x14ac:dyDescent="0.3">
      <c r="B18" s="78"/>
      <c r="C18" s="78"/>
      <c r="D18" s="78"/>
      <c r="E18" s="78"/>
      <c r="F18" s="78"/>
      <c r="G18" s="78"/>
      <c r="H18" s="78"/>
      <c r="I18" s="78"/>
      <c r="J18" s="78"/>
      <c r="L18" s="205"/>
      <c r="M18" s="206"/>
      <c r="N18" s="206"/>
      <c r="O18" s="206"/>
      <c r="P18" s="206"/>
      <c r="Q18" s="206"/>
      <c r="R18" s="206"/>
      <c r="S18" s="206"/>
      <c r="T18" s="207"/>
    </row>
    <row r="19" spans="2:20" x14ac:dyDescent="0.25">
      <c r="B19" s="209" t="s">
        <v>76</v>
      </c>
      <c r="C19" s="209"/>
      <c r="D19" s="210" t="s">
        <v>77</v>
      </c>
      <c r="E19" s="210"/>
      <c r="H19" s="208" t="s">
        <v>75</v>
      </c>
      <c r="I19" s="208"/>
    </row>
    <row r="20" spans="2:20" ht="18" x14ac:dyDescent="0.35">
      <c r="B20" s="97" t="s">
        <v>0</v>
      </c>
      <c r="C20" s="98" t="s">
        <v>1</v>
      </c>
      <c r="D20" s="95" t="s">
        <v>8</v>
      </c>
      <c r="E20" s="96" t="s">
        <v>9</v>
      </c>
      <c r="H20" s="99" t="s">
        <v>0</v>
      </c>
      <c r="I20" s="99" t="s">
        <v>83</v>
      </c>
    </row>
    <row r="21" spans="2:20" x14ac:dyDescent="0.25">
      <c r="B21" s="2">
        <v>0</v>
      </c>
      <c r="C21">
        <v>4.0999999999999996</v>
      </c>
      <c r="D21" s="1">
        <f t="shared" ref="D21:D34" si="0">$D$16*(1-EXP(-$D$15*(B21-$D$17)))</f>
        <v>4.4409762788491642</v>
      </c>
      <c r="E21" s="89">
        <f t="shared" ref="E21:E34" si="1">(D21-C21)^2</f>
        <v>0.11626482273782325</v>
      </c>
      <c r="H21" s="77">
        <v>-0.7</v>
      </c>
      <c r="I21">
        <f t="shared" ref="I21:I37" si="2">$D$16*(1-EXP(-$D$15*(H21-$D$17)))</f>
        <v>-1.2495807361933784</v>
      </c>
    </row>
    <row r="22" spans="2:20" x14ac:dyDescent="0.25">
      <c r="B22" s="2">
        <v>1</v>
      </c>
      <c r="C22">
        <v>10.6</v>
      </c>
      <c r="D22" s="1">
        <f t="shared" si="0"/>
        <v>11.172865401791277</v>
      </c>
      <c r="E22" s="89">
        <f t="shared" si="1"/>
        <v>0.32817476856948213</v>
      </c>
      <c r="H22" s="77">
        <v>-0.5</v>
      </c>
      <c r="I22">
        <f t="shared" si="2"/>
        <v>0.46797345062080714</v>
      </c>
    </row>
    <row r="23" spans="2:20" x14ac:dyDescent="0.25">
      <c r="B23" s="2">
        <v>2</v>
      </c>
      <c r="C23">
        <v>17.600000000000001</v>
      </c>
      <c r="D23" s="1">
        <f t="shared" si="0"/>
        <v>16.558295296584355</v>
      </c>
      <c r="E23" s="89">
        <f t="shared" si="1"/>
        <v>1.0851486891182807</v>
      </c>
      <c r="H23" s="77">
        <v>0</v>
      </c>
      <c r="I23">
        <f t="shared" si="2"/>
        <v>4.4409762788491642</v>
      </c>
    </row>
    <row r="24" spans="2:20" x14ac:dyDescent="0.25">
      <c r="B24" s="2">
        <v>3</v>
      </c>
      <c r="C24">
        <v>21.5</v>
      </c>
      <c r="D24" s="1">
        <f t="shared" si="0"/>
        <v>20.866574090554675</v>
      </c>
      <c r="E24" s="89">
        <f t="shared" si="1"/>
        <v>0.4012283827566373</v>
      </c>
      <c r="H24" s="77">
        <v>1</v>
      </c>
      <c r="I24">
        <f t="shared" si="2"/>
        <v>11.172865401791277</v>
      </c>
    </row>
    <row r="25" spans="2:20" x14ac:dyDescent="0.25">
      <c r="B25" s="2">
        <v>4</v>
      </c>
      <c r="C25">
        <v>25.4</v>
      </c>
      <c r="D25" s="1">
        <f t="shared" si="0"/>
        <v>24.313145029027091</v>
      </c>
      <c r="E25" s="89">
        <f t="shared" si="1"/>
        <v>1.1812537279285209</v>
      </c>
      <c r="H25" s="77">
        <v>2</v>
      </c>
      <c r="I25">
        <f t="shared" si="2"/>
        <v>16.558295296584355</v>
      </c>
    </row>
    <row r="26" spans="2:20" x14ac:dyDescent="0.25">
      <c r="B26" s="2">
        <v>5</v>
      </c>
      <c r="C26">
        <v>26.7</v>
      </c>
      <c r="D26" s="1">
        <f t="shared" si="0"/>
        <v>27.070360103071909</v>
      </c>
      <c r="E26" s="89">
        <f t="shared" si="1"/>
        <v>0.13716660594743574</v>
      </c>
      <c r="H26" s="77">
        <v>3</v>
      </c>
      <c r="I26">
        <f t="shared" si="2"/>
        <v>20.866574090554675</v>
      </c>
    </row>
    <row r="27" spans="2:20" x14ac:dyDescent="0.25">
      <c r="B27" s="2">
        <v>6</v>
      </c>
      <c r="C27">
        <v>28.2</v>
      </c>
      <c r="D27" s="1">
        <f t="shared" si="0"/>
        <v>29.276098821425247</v>
      </c>
      <c r="E27" s="89">
        <f t="shared" si="1"/>
        <v>1.1579886734728073</v>
      </c>
      <c r="H27" s="77">
        <v>4</v>
      </c>
      <c r="I27">
        <f t="shared" si="2"/>
        <v>24.313145029027091</v>
      </c>
    </row>
    <row r="28" spans="2:20" x14ac:dyDescent="0.25">
      <c r="B28" s="2">
        <v>7</v>
      </c>
      <c r="C28">
        <v>30.1</v>
      </c>
      <c r="D28" s="1">
        <f t="shared" si="0"/>
        <v>31.040663123805064</v>
      </c>
      <c r="E28" s="89">
        <f t="shared" si="1"/>
        <v>0.88484711248669912</v>
      </c>
      <c r="H28" s="77">
        <v>5</v>
      </c>
      <c r="I28">
        <f t="shared" si="2"/>
        <v>27.070360103071909</v>
      </c>
    </row>
    <row r="29" spans="2:20" x14ac:dyDescent="0.25">
      <c r="B29" s="2">
        <v>8</v>
      </c>
      <c r="C29">
        <v>31.8</v>
      </c>
      <c r="D29" s="1">
        <f t="shared" si="0"/>
        <v>32.452293228189163</v>
      </c>
      <c r="E29" s="89">
        <f t="shared" si="1"/>
        <v>0.42548645554143821</v>
      </c>
      <c r="H29" s="77">
        <v>6</v>
      </c>
      <c r="I29">
        <f t="shared" si="2"/>
        <v>29.276098821425247</v>
      </c>
    </row>
    <row r="30" spans="2:20" x14ac:dyDescent="0.25">
      <c r="B30" s="2">
        <v>9</v>
      </c>
      <c r="C30">
        <v>33.4</v>
      </c>
      <c r="D30" s="1">
        <f t="shared" si="0"/>
        <v>33.581580241938653</v>
      </c>
      <c r="E30" s="89">
        <f t="shared" si="1"/>
        <v>3.2971384262500229E-2</v>
      </c>
      <c r="H30" s="77">
        <v>7</v>
      </c>
      <c r="I30">
        <f t="shared" si="2"/>
        <v>31.040663123805064</v>
      </c>
    </row>
    <row r="31" spans="2:20" x14ac:dyDescent="0.25">
      <c r="B31" s="2">
        <v>10</v>
      </c>
      <c r="C31">
        <v>34.6</v>
      </c>
      <c r="D31" s="1">
        <f t="shared" si="0"/>
        <v>34.484996197338432</v>
      </c>
      <c r="E31" s="89">
        <f t="shared" si="1"/>
        <v>1.3225874626621094E-2</v>
      </c>
      <c r="H31" s="77">
        <v>8</v>
      </c>
      <c r="I31">
        <f t="shared" si="2"/>
        <v>32.452293228189163</v>
      </c>
    </row>
    <row r="32" spans="2:20" x14ac:dyDescent="0.25">
      <c r="B32" s="2">
        <v>11</v>
      </c>
      <c r="C32">
        <v>35.5</v>
      </c>
      <c r="D32" s="1">
        <f t="shared" si="0"/>
        <v>35.207718037343533</v>
      </c>
      <c r="E32" s="89">
        <f t="shared" si="1"/>
        <v>8.5428745694316632E-2</v>
      </c>
      <c r="H32" s="77">
        <v>9</v>
      </c>
      <c r="I32">
        <f t="shared" si="2"/>
        <v>33.581580241938653</v>
      </c>
    </row>
    <row r="33" spans="2:9" x14ac:dyDescent="0.25">
      <c r="B33" s="2">
        <v>12</v>
      </c>
      <c r="C33">
        <v>36.299999999999997</v>
      </c>
      <c r="D33" s="1">
        <f t="shared" si="0"/>
        <v>35.785886770027929</v>
      </c>
      <c r="E33" s="89">
        <f t="shared" si="1"/>
        <v>0.26431241323231258</v>
      </c>
      <c r="H33" s="77">
        <v>10</v>
      </c>
      <c r="I33">
        <f t="shared" si="2"/>
        <v>34.484996197338432</v>
      </c>
    </row>
    <row r="34" spans="2:9" x14ac:dyDescent="0.25">
      <c r="B34" s="2">
        <v>13</v>
      </c>
      <c r="C34">
        <v>36.700000000000003</v>
      </c>
      <c r="D34" s="1">
        <f t="shared" si="0"/>
        <v>36.24841476482537</v>
      </c>
      <c r="E34" s="89">
        <f t="shared" si="1"/>
        <v>0.20392922462772881</v>
      </c>
      <c r="H34" s="77">
        <v>11</v>
      </c>
      <c r="I34">
        <f t="shared" si="2"/>
        <v>35.207718037343533</v>
      </c>
    </row>
    <row r="35" spans="2:9" x14ac:dyDescent="0.25">
      <c r="B35" s="211" t="s">
        <v>78</v>
      </c>
      <c r="C35" s="211"/>
      <c r="D35" s="211"/>
      <c r="E35" s="90">
        <f>SUM(E21:E34)</f>
        <v>6.3174268810026035</v>
      </c>
      <c r="H35" s="77">
        <v>12</v>
      </c>
      <c r="I35">
        <f t="shared" si="2"/>
        <v>35.785886770027929</v>
      </c>
    </row>
    <row r="36" spans="2:9" x14ac:dyDescent="0.25">
      <c r="H36" s="77">
        <v>13</v>
      </c>
      <c r="I36">
        <f t="shared" si="2"/>
        <v>36.24841476482537</v>
      </c>
    </row>
    <row r="37" spans="2:9" x14ac:dyDescent="0.25">
      <c r="H37" s="77">
        <v>14</v>
      </c>
      <c r="I37">
        <f t="shared" si="2"/>
        <v>36.618431567667812</v>
      </c>
    </row>
    <row r="38" spans="2:9" x14ac:dyDescent="0.25">
      <c r="H38" s="77"/>
    </row>
  </sheetData>
  <mergeCells count="7">
    <mergeCell ref="L2:T18"/>
    <mergeCell ref="H19:I19"/>
    <mergeCell ref="B19:C19"/>
    <mergeCell ref="D19:E19"/>
    <mergeCell ref="B35:D35"/>
    <mergeCell ref="B13:D13"/>
    <mergeCell ref="B2:J10"/>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100"/>
  <sheetViews>
    <sheetView workbookViewId="0">
      <selection activeCell="L2" sqref="L2:T17"/>
    </sheetView>
  </sheetViews>
  <sheetFormatPr defaultRowHeight="15" x14ac:dyDescent="0.25"/>
  <cols>
    <col min="1" max="1" width="2.28515625" customWidth="1"/>
    <col min="2" max="2" width="11.5703125" customWidth="1"/>
    <col min="5" max="5" width="13.85546875" customWidth="1"/>
    <col min="6" max="6" width="12.42578125" bestFit="1" customWidth="1"/>
    <col min="7" max="7" width="3.140625" customWidth="1"/>
    <col min="9" max="9" width="9.5703125" bestFit="1" customWidth="1"/>
    <col min="20" max="20" width="18.85546875" customWidth="1"/>
  </cols>
  <sheetData>
    <row r="1" spans="2:20" ht="11.25" customHeight="1" thickBot="1" x14ac:dyDescent="0.3"/>
    <row r="2" spans="2:20" ht="15" customHeight="1" x14ac:dyDescent="0.25">
      <c r="B2" s="215" t="s">
        <v>152</v>
      </c>
      <c r="C2" s="215"/>
      <c r="D2" s="215"/>
      <c r="E2" s="215"/>
      <c r="F2" s="215"/>
      <c r="G2" s="215"/>
      <c r="H2" s="215"/>
      <c r="I2" s="215"/>
      <c r="J2" s="215"/>
      <c r="L2" s="199" t="s">
        <v>85</v>
      </c>
      <c r="M2" s="200"/>
      <c r="N2" s="200"/>
      <c r="O2" s="200"/>
      <c r="P2" s="200"/>
      <c r="Q2" s="200"/>
      <c r="R2" s="200"/>
      <c r="S2" s="200"/>
      <c r="T2" s="201"/>
    </row>
    <row r="3" spans="2:20" ht="21.75" customHeight="1" x14ac:dyDescent="0.25">
      <c r="B3" s="216"/>
      <c r="C3" s="216"/>
      <c r="D3" s="216"/>
      <c r="E3" s="216"/>
      <c r="F3" s="216"/>
      <c r="G3" s="216"/>
      <c r="H3" s="216"/>
      <c r="I3" s="216"/>
      <c r="J3" s="216"/>
      <c r="L3" s="202"/>
      <c r="M3" s="203"/>
      <c r="N3" s="203"/>
      <c r="O3" s="203"/>
      <c r="P3" s="203"/>
      <c r="Q3" s="203"/>
      <c r="R3" s="203"/>
      <c r="S3" s="203"/>
      <c r="T3" s="204"/>
    </row>
    <row r="4" spans="2:20" x14ac:dyDescent="0.25">
      <c r="B4" s="216"/>
      <c r="C4" s="216"/>
      <c r="D4" s="216"/>
      <c r="E4" s="216"/>
      <c r="F4" s="216"/>
      <c r="G4" s="216"/>
      <c r="H4" s="216"/>
      <c r="I4" s="216"/>
      <c r="J4" s="216"/>
      <c r="L4" s="202"/>
      <c r="M4" s="203"/>
      <c r="N4" s="203"/>
      <c r="O4" s="203"/>
      <c r="P4" s="203"/>
      <c r="Q4" s="203"/>
      <c r="R4" s="203"/>
      <c r="S4" s="203"/>
      <c r="T4" s="204"/>
    </row>
    <row r="5" spans="2:20" x14ac:dyDescent="0.25">
      <c r="B5" s="216"/>
      <c r="C5" s="216"/>
      <c r="D5" s="216"/>
      <c r="E5" s="216"/>
      <c r="F5" s="216"/>
      <c r="G5" s="216"/>
      <c r="H5" s="216"/>
      <c r="I5" s="216"/>
      <c r="J5" s="216"/>
      <c r="L5" s="202"/>
      <c r="M5" s="203"/>
      <c r="N5" s="203"/>
      <c r="O5" s="203"/>
      <c r="P5" s="203"/>
      <c r="Q5" s="203"/>
      <c r="R5" s="203"/>
      <c r="S5" s="203"/>
      <c r="T5" s="204"/>
    </row>
    <row r="6" spans="2:20" ht="10.5" customHeight="1" x14ac:dyDescent="0.25">
      <c r="B6" s="216"/>
      <c r="C6" s="216"/>
      <c r="D6" s="216"/>
      <c r="E6" s="216"/>
      <c r="F6" s="216"/>
      <c r="G6" s="216"/>
      <c r="H6" s="216"/>
      <c r="I6" s="216"/>
      <c r="J6" s="216"/>
      <c r="L6" s="202"/>
      <c r="M6" s="203"/>
      <c r="N6" s="203"/>
      <c r="O6" s="203"/>
      <c r="P6" s="203"/>
      <c r="Q6" s="203"/>
      <c r="R6" s="203"/>
      <c r="S6" s="203"/>
      <c r="T6" s="204"/>
    </row>
    <row r="7" spans="2:20" x14ac:dyDescent="0.25">
      <c r="B7" s="216"/>
      <c r="C7" s="216"/>
      <c r="D7" s="216"/>
      <c r="E7" s="216"/>
      <c r="F7" s="216"/>
      <c r="G7" s="216"/>
      <c r="H7" s="216"/>
      <c r="I7" s="216"/>
      <c r="J7" s="216"/>
      <c r="L7" s="202"/>
      <c r="M7" s="203"/>
      <c r="N7" s="203"/>
      <c r="O7" s="203"/>
      <c r="P7" s="203"/>
      <c r="Q7" s="203"/>
      <c r="R7" s="203"/>
      <c r="S7" s="203"/>
      <c r="T7" s="204"/>
    </row>
    <row r="8" spans="2:20" x14ac:dyDescent="0.25">
      <c r="B8" s="216"/>
      <c r="C8" s="216"/>
      <c r="D8" s="216"/>
      <c r="E8" s="216"/>
      <c r="F8" s="216"/>
      <c r="G8" s="216"/>
      <c r="H8" s="216"/>
      <c r="I8" s="216"/>
      <c r="J8" s="216"/>
      <c r="L8" s="202"/>
      <c r="M8" s="203"/>
      <c r="N8" s="203"/>
      <c r="O8" s="203"/>
      <c r="P8" s="203"/>
      <c r="Q8" s="203"/>
      <c r="R8" s="203"/>
      <c r="S8" s="203"/>
      <c r="T8" s="204"/>
    </row>
    <row r="9" spans="2:20" x14ac:dyDescent="0.25">
      <c r="B9" s="216"/>
      <c r="C9" s="216"/>
      <c r="D9" s="216"/>
      <c r="E9" s="216"/>
      <c r="F9" s="216"/>
      <c r="G9" s="216"/>
      <c r="H9" s="216"/>
      <c r="I9" s="216"/>
      <c r="J9" s="216"/>
      <c r="L9" s="202"/>
      <c r="M9" s="203"/>
      <c r="N9" s="203"/>
      <c r="O9" s="203"/>
      <c r="P9" s="203"/>
      <c r="Q9" s="203"/>
      <c r="R9" s="203"/>
      <c r="S9" s="203"/>
      <c r="T9" s="204"/>
    </row>
    <row r="10" spans="2:20" x14ac:dyDescent="0.25">
      <c r="B10" s="216"/>
      <c r="C10" s="216"/>
      <c r="D10" s="216"/>
      <c r="E10" s="216"/>
      <c r="F10" s="216"/>
      <c r="G10" s="216"/>
      <c r="H10" s="216"/>
      <c r="I10" s="216"/>
      <c r="J10" s="216"/>
      <c r="L10" s="202"/>
      <c r="M10" s="203"/>
      <c r="N10" s="203"/>
      <c r="O10" s="203"/>
      <c r="P10" s="203"/>
      <c r="Q10" s="203"/>
      <c r="R10" s="203"/>
      <c r="S10" s="203"/>
      <c r="T10" s="204"/>
    </row>
    <row r="11" spans="2:20" x14ac:dyDescent="0.25">
      <c r="B11" s="59"/>
      <c r="C11" s="59"/>
      <c r="D11" s="59"/>
      <c r="E11" s="59"/>
      <c r="F11" s="59"/>
      <c r="G11" s="59"/>
      <c r="H11" s="59"/>
      <c r="I11" s="59"/>
      <c r="J11" s="59"/>
      <c r="L11" s="202"/>
      <c r="M11" s="203"/>
      <c r="N11" s="203"/>
      <c r="O11" s="203"/>
      <c r="P11" s="203"/>
      <c r="Q11" s="203"/>
      <c r="R11" s="203"/>
      <c r="S11" s="203"/>
      <c r="T11" s="204"/>
    </row>
    <row r="12" spans="2:20" ht="15.75" thickBot="1" x14ac:dyDescent="0.3">
      <c r="B12" s="78"/>
      <c r="C12" s="78"/>
      <c r="D12" s="78"/>
      <c r="E12" s="78"/>
      <c r="F12" s="78"/>
      <c r="G12" s="78"/>
      <c r="H12" s="78"/>
      <c r="I12" s="78"/>
      <c r="J12" s="78"/>
      <c r="L12" s="202"/>
      <c r="M12" s="203"/>
      <c r="N12" s="203"/>
      <c r="O12" s="203"/>
      <c r="P12" s="203"/>
      <c r="Q12" s="203"/>
      <c r="R12" s="203"/>
      <c r="S12" s="203"/>
      <c r="T12" s="204"/>
    </row>
    <row r="13" spans="2:20" ht="15.75" thickTop="1" x14ac:dyDescent="0.25">
      <c r="B13" s="212" t="s">
        <v>74</v>
      </c>
      <c r="C13" s="213"/>
      <c r="D13" s="214"/>
      <c r="E13" s="78"/>
      <c r="F13" s="91" t="s">
        <v>84</v>
      </c>
      <c r="G13" s="78"/>
      <c r="H13" s="78"/>
      <c r="I13" s="78"/>
      <c r="J13" s="78"/>
      <c r="L13" s="202"/>
      <c r="M13" s="203"/>
      <c r="N13" s="203"/>
      <c r="O13" s="203"/>
      <c r="P13" s="203"/>
      <c r="Q13" s="203"/>
      <c r="R13" s="203"/>
      <c r="S13" s="203"/>
      <c r="T13" s="204"/>
    </row>
    <row r="14" spans="2:20" ht="15.75" thickBot="1" x14ac:dyDescent="0.3">
      <c r="B14" s="80" t="s">
        <v>2</v>
      </c>
      <c r="C14" s="79" t="s">
        <v>3</v>
      </c>
      <c r="D14" s="81" t="s">
        <v>4</v>
      </c>
      <c r="E14" s="78"/>
      <c r="F14" s="92">
        <f>SUM(E21:E99)</f>
        <v>1443.5486189138155</v>
      </c>
      <c r="G14" s="78"/>
      <c r="H14" s="78"/>
      <c r="I14" s="78"/>
      <c r="J14" s="78"/>
      <c r="L14" s="202"/>
      <c r="M14" s="203"/>
      <c r="N14" s="203"/>
      <c r="O14" s="203"/>
      <c r="P14" s="203"/>
      <c r="Q14" s="203"/>
      <c r="R14" s="203"/>
      <c r="S14" s="203"/>
      <c r="T14" s="204"/>
    </row>
    <row r="15" spans="2:20" x14ac:dyDescent="0.25">
      <c r="B15" s="82" t="s">
        <v>5</v>
      </c>
      <c r="C15" s="13">
        <v>0.5</v>
      </c>
      <c r="D15" s="85">
        <v>5.7804671038613122E-2</v>
      </c>
      <c r="E15" s="78"/>
      <c r="F15" s="78"/>
      <c r="G15" s="78"/>
      <c r="I15" s="78"/>
      <c r="J15" s="78"/>
      <c r="L15" s="202"/>
      <c r="M15" s="203"/>
      <c r="N15" s="203"/>
      <c r="O15" s="203"/>
      <c r="P15" s="203"/>
      <c r="Q15" s="203"/>
      <c r="R15" s="203"/>
      <c r="S15" s="203"/>
      <c r="T15" s="204"/>
    </row>
    <row r="16" spans="2:20" x14ac:dyDescent="0.25">
      <c r="B16" s="82" t="s">
        <v>6</v>
      </c>
      <c r="C16" s="13">
        <v>56</v>
      </c>
      <c r="D16" s="85">
        <v>62.221511945672326</v>
      </c>
      <c r="E16" s="78"/>
      <c r="F16" s="78"/>
      <c r="G16" s="78"/>
      <c r="H16" s="78"/>
      <c r="I16" s="78"/>
      <c r="J16" s="78"/>
      <c r="L16" s="202"/>
      <c r="M16" s="203"/>
      <c r="N16" s="203"/>
      <c r="O16" s="203"/>
      <c r="P16" s="203"/>
      <c r="Q16" s="203"/>
      <c r="R16" s="203"/>
      <c r="S16" s="203"/>
      <c r="T16" s="204"/>
    </row>
    <row r="17" spans="2:20" ht="16.5" thickBot="1" x14ac:dyDescent="0.35">
      <c r="B17" s="83" t="s">
        <v>7</v>
      </c>
      <c r="C17" s="84">
        <v>-0.5</v>
      </c>
      <c r="D17" s="86">
        <v>-2.5148739652935257</v>
      </c>
      <c r="E17" s="78"/>
      <c r="F17" s="78"/>
      <c r="G17" s="78"/>
      <c r="H17" s="78"/>
      <c r="I17" s="78"/>
      <c r="J17" s="78"/>
      <c r="L17" s="205"/>
      <c r="M17" s="206"/>
      <c r="N17" s="206"/>
      <c r="O17" s="206"/>
      <c r="P17" s="206"/>
      <c r="Q17" s="206"/>
      <c r="R17" s="206"/>
      <c r="S17" s="206"/>
      <c r="T17" s="207"/>
    </row>
    <row r="18" spans="2:20" ht="15.75" thickTop="1" x14ac:dyDescent="0.25">
      <c r="B18" s="78"/>
      <c r="C18" s="78"/>
      <c r="D18" s="78"/>
      <c r="E18" s="78"/>
      <c r="F18" s="78"/>
      <c r="G18" s="78"/>
      <c r="H18" s="78"/>
      <c r="I18" s="78"/>
      <c r="J18" s="78"/>
      <c r="L18" s="198"/>
      <c r="M18" s="198"/>
      <c r="N18" s="198"/>
      <c r="O18" s="198"/>
      <c r="P18" s="198"/>
      <c r="Q18" s="198"/>
      <c r="R18" s="198"/>
      <c r="S18" s="198"/>
      <c r="T18" s="198"/>
    </row>
    <row r="19" spans="2:20" x14ac:dyDescent="0.25">
      <c r="B19" s="217" t="s">
        <v>76</v>
      </c>
      <c r="C19" s="218"/>
      <c r="D19" s="210" t="s">
        <v>77</v>
      </c>
      <c r="E19" s="210"/>
      <c r="H19" s="208" t="s">
        <v>75</v>
      </c>
      <c r="I19" s="208"/>
    </row>
    <row r="20" spans="2:20" ht="18" x14ac:dyDescent="0.35">
      <c r="B20" s="100" t="s">
        <v>0</v>
      </c>
      <c r="C20" s="87" t="s">
        <v>79</v>
      </c>
      <c r="D20" s="95" t="s">
        <v>8</v>
      </c>
      <c r="E20" s="96" t="s">
        <v>9</v>
      </c>
      <c r="H20" s="99" t="s">
        <v>0</v>
      </c>
      <c r="I20" s="99" t="s">
        <v>83</v>
      </c>
    </row>
    <row r="21" spans="2:20" x14ac:dyDescent="0.25">
      <c r="B21" s="88">
        <v>22</v>
      </c>
      <c r="C21" s="88">
        <v>44</v>
      </c>
      <c r="D21" s="1">
        <f t="shared" ref="D21:D34" si="0">$D$16*(1-EXP(-$D$15*(B21-$D$17)))</f>
        <v>47.137632818468617</v>
      </c>
      <c r="E21" s="1">
        <f t="shared" ref="E21:E34" si="1">(D21-C21)^2</f>
        <v>9.8447397035313191</v>
      </c>
      <c r="H21" s="2">
        <v>-3.5</v>
      </c>
      <c r="I21" s="93">
        <f t="shared" ref="I21:I37" si="2">$D$16*(1-EXP(-$D$15*(H21-$D$17)))</f>
        <v>-3.6460229080770414</v>
      </c>
    </row>
    <row r="22" spans="2:20" x14ac:dyDescent="0.25">
      <c r="B22" s="88">
        <v>17</v>
      </c>
      <c r="C22" s="88">
        <v>47</v>
      </c>
      <c r="D22" s="1">
        <f t="shared" si="0"/>
        <v>42.082679347987877</v>
      </c>
      <c r="E22" s="1">
        <f t="shared" si="1"/>
        <v>24.180042394704927</v>
      </c>
      <c r="H22" s="2">
        <v>-0.5</v>
      </c>
      <c r="I22" s="93">
        <f t="shared" si="2"/>
        <v>6.8407838778527426</v>
      </c>
    </row>
    <row r="23" spans="2:20" x14ac:dyDescent="0.25">
      <c r="B23" s="88">
        <v>17</v>
      </c>
      <c r="C23" s="88">
        <v>52</v>
      </c>
      <c r="D23" s="1">
        <f t="shared" si="0"/>
        <v>42.082679347987877</v>
      </c>
      <c r="E23" s="1">
        <f t="shared" si="1"/>
        <v>98.353248914826153</v>
      </c>
      <c r="H23" s="2">
        <v>0</v>
      </c>
      <c r="I23" s="93">
        <f t="shared" si="2"/>
        <v>8.4185065004456181</v>
      </c>
    </row>
    <row r="24" spans="2:20" x14ac:dyDescent="0.25">
      <c r="B24" s="88">
        <v>16</v>
      </c>
      <c r="C24" s="88">
        <v>31</v>
      </c>
      <c r="D24" s="1">
        <f t="shared" si="0"/>
        <v>40.884257236679048</v>
      </c>
      <c r="E24" s="1">
        <f t="shared" si="1"/>
        <v>97.698541120842123</v>
      </c>
      <c r="H24" s="2">
        <v>1</v>
      </c>
      <c r="I24" s="93">
        <f t="shared" si="2"/>
        <v>11.440390630330999</v>
      </c>
    </row>
    <row r="25" spans="2:20" x14ac:dyDescent="0.25">
      <c r="B25" s="88">
        <v>15</v>
      </c>
      <c r="C25" s="88">
        <v>34</v>
      </c>
      <c r="D25" s="1">
        <f t="shared" si="0"/>
        <v>39.614519394932152</v>
      </c>
      <c r="E25" s="1">
        <f t="shared" si="1"/>
        <v>31.522828036069303</v>
      </c>
      <c r="H25" s="2">
        <v>2</v>
      </c>
      <c r="I25" s="93">
        <f t="shared" si="2"/>
        <v>14.292548485282733</v>
      </c>
    </row>
    <row r="26" spans="2:20" x14ac:dyDescent="0.25">
      <c r="B26" s="88">
        <v>14</v>
      </c>
      <c r="C26" s="88">
        <v>30</v>
      </c>
      <c r="D26" s="1">
        <f t="shared" si="0"/>
        <v>38.269221964627469</v>
      </c>
      <c r="E26" s="1">
        <f t="shared" si="1"/>
        <v>68.380031900277388</v>
      </c>
      <c r="H26" s="2">
        <v>3</v>
      </c>
      <c r="I26" s="93">
        <f t="shared" si="2"/>
        <v>16.984512862444809</v>
      </c>
    </row>
    <row r="27" spans="2:20" x14ac:dyDescent="0.25">
      <c r="B27" s="88">
        <v>14</v>
      </c>
      <c r="C27" s="88">
        <v>38</v>
      </c>
      <c r="D27" s="1">
        <f t="shared" si="0"/>
        <v>38.269221964627469</v>
      </c>
      <c r="E27" s="1">
        <f t="shared" si="1"/>
        <v>7.248046623787438E-2</v>
      </c>
      <c r="H27" s="2">
        <v>4</v>
      </c>
      <c r="I27" s="93">
        <f t="shared" si="2"/>
        <v>19.52528114261851</v>
      </c>
    </row>
    <row r="28" spans="2:20" x14ac:dyDescent="0.25">
      <c r="B28" s="88">
        <v>13</v>
      </c>
      <c r="C28" s="88">
        <v>41</v>
      </c>
      <c r="D28" s="1">
        <f t="shared" si="0"/>
        <v>36.843868544039161</v>
      </c>
      <c r="E28" s="1">
        <f t="shared" si="1"/>
        <v>17.273428679227163</v>
      </c>
      <c r="H28" s="2">
        <v>5</v>
      </c>
      <c r="I28" s="93">
        <f t="shared" si="2"/>
        <v>21.923345362302697</v>
      </c>
    </row>
    <row r="29" spans="2:20" x14ac:dyDescent="0.25">
      <c r="B29" s="88">
        <v>13</v>
      </c>
      <c r="C29" s="88">
        <v>42</v>
      </c>
      <c r="D29" s="1">
        <f t="shared" si="0"/>
        <v>36.843868544039161</v>
      </c>
      <c r="E29" s="1">
        <f t="shared" si="1"/>
        <v>26.585691591148841</v>
      </c>
      <c r="H29" s="2">
        <v>6</v>
      </c>
      <c r="I29" s="93">
        <f t="shared" si="2"/>
        <v>24.186720596716587</v>
      </c>
    </row>
    <row r="30" spans="2:20" x14ac:dyDescent="0.25">
      <c r="B30" s="88">
        <v>13</v>
      </c>
      <c r="C30" s="88">
        <v>43</v>
      </c>
      <c r="D30" s="1">
        <f t="shared" si="0"/>
        <v>36.843868544039161</v>
      </c>
      <c r="E30" s="1">
        <f t="shared" si="1"/>
        <v>37.897954503070522</v>
      </c>
      <c r="H30" s="2">
        <v>7</v>
      </c>
      <c r="I30" s="93">
        <f t="shared" si="2"/>
        <v>26.322971748669808</v>
      </c>
    </row>
    <row r="31" spans="2:20" x14ac:dyDescent="0.25">
      <c r="B31" s="88">
        <v>13</v>
      </c>
      <c r="C31" s="88">
        <v>44</v>
      </c>
      <c r="D31" s="1">
        <f t="shared" si="0"/>
        <v>36.843868544039161</v>
      </c>
      <c r="E31" s="1">
        <f t="shared" si="1"/>
        <v>51.210217414992201</v>
      </c>
      <c r="H31" s="2">
        <v>8</v>
      </c>
      <c r="I31" s="93">
        <f t="shared" si="2"/>
        <v>28.339238832816477</v>
      </c>
    </row>
    <row r="32" spans="2:20" x14ac:dyDescent="0.25">
      <c r="B32" s="88">
        <v>12</v>
      </c>
      <c r="C32" s="88">
        <v>29</v>
      </c>
      <c r="D32" s="1">
        <f t="shared" si="0"/>
        <v>35.333695159464483</v>
      </c>
      <c r="E32" s="1">
        <f t="shared" si="1"/>
        <v>40.115694373023821</v>
      </c>
      <c r="H32" s="2">
        <v>9</v>
      </c>
      <c r="I32" s="93">
        <f t="shared" si="2"/>
        <v>30.242260839801123</v>
      </c>
    </row>
    <row r="33" spans="2:9" x14ac:dyDescent="0.25">
      <c r="B33" s="88">
        <v>12</v>
      </c>
      <c r="C33" s="88">
        <v>30</v>
      </c>
      <c r="D33" s="1">
        <f t="shared" si="0"/>
        <v>35.333695159464483</v>
      </c>
      <c r="E33" s="1">
        <f t="shared" si="1"/>
        <v>28.448304054094859</v>
      </c>
      <c r="H33" s="2">
        <v>10</v>
      </c>
      <c r="I33" s="93">
        <f t="shared" si="2"/>
        <v>32.038398260057917</v>
      </c>
    </row>
    <row r="34" spans="2:9" x14ac:dyDescent="0.25">
      <c r="B34" s="88">
        <v>12</v>
      </c>
      <c r="C34" s="88">
        <v>34</v>
      </c>
      <c r="D34" s="1">
        <f t="shared" si="0"/>
        <v>35.333695159464483</v>
      </c>
      <c r="E34" s="1">
        <f t="shared" si="1"/>
        <v>1.7787427783789929</v>
      </c>
      <c r="H34" s="2">
        <v>11</v>
      </c>
      <c r="I34" s="93">
        <f t="shared" si="2"/>
        <v>33.73365434254459</v>
      </c>
    </row>
    <row r="35" spans="2:9" x14ac:dyDescent="0.25">
      <c r="B35" s="88">
        <v>12</v>
      </c>
      <c r="C35" s="88">
        <v>36</v>
      </c>
      <c r="D35" s="1">
        <f t="shared" ref="D35:D98" si="3">$D$16*(1-EXP(-$D$15*(B35-$D$17)))</f>
        <v>35.333695159464483</v>
      </c>
      <c r="E35" s="1">
        <f t="shared" ref="E35:E98" si="4">(D35-C35)^2</f>
        <v>0.4439621405210607</v>
      </c>
      <c r="H35" s="2">
        <v>12</v>
      </c>
      <c r="I35" s="93">
        <f t="shared" si="2"/>
        <v>35.333695159464483</v>
      </c>
    </row>
    <row r="36" spans="2:9" x14ac:dyDescent="0.25">
      <c r="B36" s="88">
        <v>12</v>
      </c>
      <c r="C36" s="88">
        <v>38</v>
      </c>
      <c r="D36" s="1">
        <f t="shared" si="3"/>
        <v>35.333695159464483</v>
      </c>
      <c r="E36" s="1">
        <f t="shared" si="4"/>
        <v>7.1091815026631284</v>
      </c>
      <c r="H36" s="2">
        <v>13</v>
      </c>
      <c r="I36" s="93">
        <f t="shared" si="2"/>
        <v>36.843868544039161</v>
      </c>
    </row>
    <row r="37" spans="2:9" x14ac:dyDescent="0.25">
      <c r="B37" s="88">
        <v>11</v>
      </c>
      <c r="C37" s="88">
        <v>26</v>
      </c>
      <c r="D37" s="1">
        <f t="shared" si="3"/>
        <v>33.73365434254459</v>
      </c>
      <c r="E37" s="1">
        <f t="shared" si="4"/>
        <v>59.809409489958789</v>
      </c>
      <c r="H37" s="2">
        <v>14</v>
      </c>
      <c r="I37" s="93">
        <f t="shared" si="2"/>
        <v>38.269221964627469</v>
      </c>
    </row>
    <row r="38" spans="2:9" x14ac:dyDescent="0.25">
      <c r="B38" s="88">
        <v>11</v>
      </c>
      <c r="C38" s="88">
        <v>29</v>
      </c>
      <c r="D38" s="1">
        <f t="shared" si="3"/>
        <v>33.73365434254459</v>
      </c>
      <c r="E38" s="1">
        <f t="shared" si="4"/>
        <v>22.407483434691251</v>
      </c>
      <c r="H38" s="2">
        <v>15</v>
      </c>
      <c r="I38" s="93">
        <f t="shared" ref="I38:I53" si="5">$D$16*(1-EXP(-$D$15*(H38-$D$17)))</f>
        <v>39.614519394932152</v>
      </c>
    </row>
    <row r="39" spans="2:9" x14ac:dyDescent="0.25">
      <c r="B39" s="88">
        <v>11</v>
      </c>
      <c r="C39" s="88">
        <v>33</v>
      </c>
      <c r="D39" s="1">
        <f t="shared" si="3"/>
        <v>33.73365434254459</v>
      </c>
      <c r="E39" s="1">
        <f t="shared" si="4"/>
        <v>0.53824869433453404</v>
      </c>
      <c r="H39" s="2">
        <v>16</v>
      </c>
      <c r="I39" s="93">
        <f t="shared" si="5"/>
        <v>40.884257236679048</v>
      </c>
    </row>
    <row r="40" spans="2:9" x14ac:dyDescent="0.25">
      <c r="B40" s="88">
        <v>11</v>
      </c>
      <c r="C40" s="88">
        <v>34</v>
      </c>
      <c r="D40" s="1">
        <f t="shared" si="3"/>
        <v>33.73365434254459</v>
      </c>
      <c r="E40" s="1">
        <f t="shared" si="4"/>
        <v>7.0940009245354804E-2</v>
      </c>
      <c r="H40" s="2">
        <v>17</v>
      </c>
      <c r="I40" s="93">
        <f t="shared" si="5"/>
        <v>42.082679347987877</v>
      </c>
    </row>
    <row r="41" spans="2:9" x14ac:dyDescent="0.25">
      <c r="B41" s="88">
        <v>11</v>
      </c>
      <c r="C41" s="88">
        <v>35</v>
      </c>
      <c r="D41" s="1">
        <f t="shared" si="3"/>
        <v>33.73365434254459</v>
      </c>
      <c r="E41" s="1">
        <f t="shared" si="4"/>
        <v>1.6036313241561755</v>
      </c>
      <c r="H41" s="2">
        <v>18</v>
      </c>
      <c r="I41" s="93">
        <f t="shared" si="5"/>
        <v>43.213791227663741</v>
      </c>
    </row>
    <row r="42" spans="2:9" x14ac:dyDescent="0.25">
      <c r="B42" s="88">
        <v>11</v>
      </c>
      <c r="C42" s="88">
        <v>36</v>
      </c>
      <c r="D42" s="1">
        <f t="shared" si="3"/>
        <v>33.73365434254459</v>
      </c>
      <c r="E42" s="1">
        <f t="shared" si="4"/>
        <v>5.1363226390669965</v>
      </c>
      <c r="H42" s="2">
        <v>19</v>
      </c>
      <c r="I42" s="93">
        <f t="shared" si="5"/>
        <v>44.281373402817849</v>
      </c>
    </row>
    <row r="43" spans="2:9" x14ac:dyDescent="0.25">
      <c r="B43" s="88">
        <v>11</v>
      </c>
      <c r="C43" s="88">
        <v>36</v>
      </c>
      <c r="D43" s="1">
        <f t="shared" si="3"/>
        <v>33.73365434254459</v>
      </c>
      <c r="E43" s="1">
        <f t="shared" si="4"/>
        <v>5.1363226390669965</v>
      </c>
      <c r="H43" s="2">
        <v>20</v>
      </c>
      <c r="I43" s="93">
        <f t="shared" si="5"/>
        <v>45.288994064562992</v>
      </c>
    </row>
    <row r="44" spans="2:9" x14ac:dyDescent="0.25">
      <c r="B44" s="88">
        <v>11</v>
      </c>
      <c r="C44" s="88">
        <v>38</v>
      </c>
      <c r="D44" s="1">
        <f t="shared" si="3"/>
        <v>33.73365434254459</v>
      </c>
      <c r="E44" s="1">
        <f t="shared" si="4"/>
        <v>18.201705268888638</v>
      </c>
      <c r="H44" s="2">
        <v>21</v>
      </c>
      <c r="I44" s="93">
        <f t="shared" si="5"/>
        <v>46.240020994016135</v>
      </c>
    </row>
    <row r="45" spans="2:9" x14ac:dyDescent="0.25">
      <c r="B45" s="88">
        <v>11</v>
      </c>
      <c r="C45" s="88">
        <v>39</v>
      </c>
      <c r="D45" s="1">
        <f t="shared" si="3"/>
        <v>33.73365434254459</v>
      </c>
      <c r="E45" s="1">
        <f t="shared" si="4"/>
        <v>27.734396583799459</v>
      </c>
      <c r="H45" s="2">
        <v>22</v>
      </c>
      <c r="I45" s="93">
        <f t="shared" si="5"/>
        <v>47.137632818468617</v>
      </c>
    </row>
    <row r="46" spans="2:9" x14ac:dyDescent="0.25">
      <c r="B46" s="88">
        <v>10</v>
      </c>
      <c r="C46" s="88">
        <v>24</v>
      </c>
      <c r="D46" s="1">
        <f t="shared" si="3"/>
        <v>32.038398260057917</v>
      </c>
      <c r="E46" s="1">
        <f t="shared" si="4"/>
        <v>64.615846587302158</v>
      </c>
      <c r="H46" s="2">
        <v>23</v>
      </c>
      <c r="I46" s="93">
        <f t="shared" si="5"/>
        <v>47.984829635345513</v>
      </c>
    </row>
    <row r="47" spans="2:9" x14ac:dyDescent="0.25">
      <c r="B47" s="88">
        <v>10</v>
      </c>
      <c r="C47" s="88">
        <v>26</v>
      </c>
      <c r="D47" s="1">
        <f t="shared" si="3"/>
        <v>32.038398260057917</v>
      </c>
      <c r="E47" s="1">
        <f t="shared" si="4"/>
        <v>36.462253547070482</v>
      </c>
      <c r="H47" s="2">
        <v>24</v>
      </c>
      <c r="I47" s="93">
        <f t="shared" si="5"/>
        <v>48.784443039462758</v>
      </c>
    </row>
    <row r="48" spans="2:9" x14ac:dyDescent="0.25">
      <c r="B48" s="88">
        <v>10</v>
      </c>
      <c r="C48" s="88">
        <v>29</v>
      </c>
      <c r="D48" s="1">
        <f t="shared" si="3"/>
        <v>32.038398260057917</v>
      </c>
      <c r="E48" s="1">
        <f t="shared" si="4"/>
        <v>9.2318639867229795</v>
      </c>
      <c r="H48" s="2">
        <v>25</v>
      </c>
      <c r="I48" s="93">
        <f t="shared" si="5"/>
        <v>49.539145587096243</v>
      </c>
    </row>
    <row r="49" spans="2:9" x14ac:dyDescent="0.25">
      <c r="B49" s="88">
        <v>10</v>
      </c>
      <c r="C49" s="88">
        <v>31</v>
      </c>
      <c r="D49" s="1">
        <f t="shared" si="3"/>
        <v>32.038398260057917</v>
      </c>
      <c r="E49" s="1">
        <f t="shared" si="4"/>
        <v>1.0782709464913101</v>
      </c>
      <c r="H49" s="2">
        <v>26</v>
      </c>
      <c r="I49" s="93">
        <f t="shared" si="5"/>
        <v>50.251459728494702</v>
      </c>
    </row>
    <row r="50" spans="2:9" x14ac:dyDescent="0.25">
      <c r="B50" s="88">
        <v>10</v>
      </c>
      <c r="C50" s="88">
        <v>34</v>
      </c>
      <c r="D50" s="1">
        <f t="shared" si="3"/>
        <v>32.038398260057917</v>
      </c>
      <c r="E50" s="1">
        <f t="shared" si="4"/>
        <v>3.8478813861438059</v>
      </c>
      <c r="H50" s="2">
        <v>27</v>
      </c>
      <c r="I50" s="93">
        <f t="shared" si="5"/>
        <v>50.92376623869167</v>
      </c>
    </row>
    <row r="51" spans="2:9" x14ac:dyDescent="0.25">
      <c r="B51" s="88">
        <v>10</v>
      </c>
      <c r="C51" s="88">
        <v>36</v>
      </c>
      <c r="D51" s="1">
        <f t="shared" si="3"/>
        <v>32.038398260057917</v>
      </c>
      <c r="E51" s="1">
        <f t="shared" si="4"/>
        <v>15.694288345912137</v>
      </c>
      <c r="H51" s="2">
        <v>28</v>
      </c>
      <c r="I51" s="93">
        <f t="shared" si="5"/>
        <v>51.558312174794835</v>
      </c>
    </row>
    <row r="52" spans="2:9" x14ac:dyDescent="0.25">
      <c r="B52" s="88">
        <v>10</v>
      </c>
      <c r="C52" s="88">
        <v>39</v>
      </c>
      <c r="D52" s="1">
        <f t="shared" si="3"/>
        <v>32.038398260057917</v>
      </c>
      <c r="E52" s="1">
        <f t="shared" si="4"/>
        <v>48.463898785564631</v>
      </c>
      <c r="H52" s="2">
        <v>29</v>
      </c>
      <c r="I52" s="93">
        <f t="shared" si="5"/>
        <v>52.157218386348688</v>
      </c>
    </row>
    <row r="53" spans="2:9" x14ac:dyDescent="0.25">
      <c r="B53" s="88">
        <v>9</v>
      </c>
      <c r="C53" s="88">
        <v>22</v>
      </c>
      <c r="D53" s="1">
        <f t="shared" si="3"/>
        <v>30.242260839801123</v>
      </c>
      <c r="E53" s="1">
        <f t="shared" si="4"/>
        <v>67.934863751319114</v>
      </c>
      <c r="H53" s="2">
        <v>30</v>
      </c>
      <c r="I53" s="93">
        <f t="shared" si="5"/>
        <v>52.722486603872142</v>
      </c>
    </row>
    <row r="54" spans="2:9" x14ac:dyDescent="0.25">
      <c r="B54" s="88">
        <v>9</v>
      </c>
      <c r="C54" s="88">
        <v>30</v>
      </c>
      <c r="D54" s="1">
        <f t="shared" si="3"/>
        <v>30.242260839801123</v>
      </c>
      <c r="E54" s="1">
        <f t="shared" si="4"/>
        <v>5.8690314501145278E-2</v>
      </c>
      <c r="H54" s="2"/>
      <c r="I54" s="93"/>
    </row>
    <row r="55" spans="2:9" x14ac:dyDescent="0.25">
      <c r="B55" s="88">
        <v>9</v>
      </c>
      <c r="C55" s="88">
        <v>31</v>
      </c>
      <c r="D55" s="1">
        <f t="shared" si="3"/>
        <v>30.242260839801123</v>
      </c>
      <c r="E55" s="1">
        <f t="shared" si="4"/>
        <v>0.57416863489889969</v>
      </c>
      <c r="H55" s="2"/>
      <c r="I55" s="93"/>
    </row>
    <row r="56" spans="2:9" x14ac:dyDescent="0.25">
      <c r="B56" s="88">
        <v>9</v>
      </c>
      <c r="C56" s="88">
        <v>32</v>
      </c>
      <c r="D56" s="1">
        <f t="shared" si="3"/>
        <v>30.242260839801123</v>
      </c>
      <c r="E56" s="1">
        <f t="shared" si="4"/>
        <v>3.0896469552966543</v>
      </c>
      <c r="H56" s="2"/>
      <c r="I56" s="93"/>
    </row>
    <row r="57" spans="2:9" x14ac:dyDescent="0.25">
      <c r="B57" s="88">
        <v>9</v>
      </c>
      <c r="C57" s="88">
        <v>33</v>
      </c>
      <c r="D57" s="1">
        <f t="shared" si="3"/>
        <v>30.242260839801123</v>
      </c>
      <c r="E57" s="1">
        <f t="shared" si="4"/>
        <v>7.6051252756944088</v>
      </c>
      <c r="H57" s="2"/>
      <c r="I57" s="93"/>
    </row>
    <row r="58" spans="2:9" x14ac:dyDescent="0.25">
      <c r="B58" s="88">
        <v>9</v>
      </c>
      <c r="C58" s="88">
        <v>34</v>
      </c>
      <c r="D58" s="1">
        <f t="shared" si="3"/>
        <v>30.242260839801123</v>
      </c>
      <c r="E58" s="1">
        <f t="shared" si="4"/>
        <v>14.120603596092163</v>
      </c>
      <c r="H58" s="2"/>
      <c r="I58" s="93"/>
    </row>
    <row r="59" spans="2:9" x14ac:dyDescent="0.25">
      <c r="B59" s="88">
        <v>9</v>
      </c>
      <c r="C59" s="88">
        <v>35</v>
      </c>
      <c r="D59" s="1">
        <f t="shared" si="3"/>
        <v>30.242260839801123</v>
      </c>
      <c r="E59" s="1">
        <f t="shared" si="4"/>
        <v>22.636081916489918</v>
      </c>
      <c r="H59" s="2"/>
      <c r="I59" s="93"/>
    </row>
    <row r="60" spans="2:9" x14ac:dyDescent="0.25">
      <c r="B60" s="88">
        <v>9</v>
      </c>
      <c r="C60" s="88">
        <v>36</v>
      </c>
      <c r="D60" s="1">
        <f t="shared" si="3"/>
        <v>30.242260839801123</v>
      </c>
      <c r="E60" s="1">
        <f t="shared" si="4"/>
        <v>33.151560236887669</v>
      </c>
      <c r="H60" s="2"/>
      <c r="I60" s="93"/>
    </row>
    <row r="61" spans="2:9" x14ac:dyDescent="0.25">
      <c r="B61" s="88">
        <v>8</v>
      </c>
      <c r="C61" s="88">
        <v>23</v>
      </c>
      <c r="D61" s="1">
        <f t="shared" si="3"/>
        <v>28.339238832816477</v>
      </c>
      <c r="E61" s="1">
        <f t="shared" si="4"/>
        <v>28.507471313855458</v>
      </c>
      <c r="H61" s="2"/>
      <c r="I61" s="93"/>
    </row>
    <row r="62" spans="2:9" x14ac:dyDescent="0.25">
      <c r="B62" s="88">
        <v>8</v>
      </c>
      <c r="C62" s="88">
        <v>24</v>
      </c>
      <c r="D62" s="1">
        <f t="shared" si="3"/>
        <v>28.339238832816477</v>
      </c>
      <c r="E62" s="1">
        <f t="shared" si="4"/>
        <v>18.828993648222504</v>
      </c>
      <c r="H62" s="2"/>
      <c r="I62" s="93"/>
    </row>
    <row r="63" spans="2:9" x14ac:dyDescent="0.25">
      <c r="B63" s="88">
        <v>8</v>
      </c>
      <c r="C63" s="88">
        <v>26</v>
      </c>
      <c r="D63" s="1">
        <f t="shared" si="3"/>
        <v>28.339238832816477</v>
      </c>
      <c r="E63" s="1">
        <f t="shared" si="4"/>
        <v>5.4720383169565938</v>
      </c>
      <c r="H63" s="2"/>
      <c r="I63" s="93"/>
    </row>
    <row r="64" spans="2:9" x14ac:dyDescent="0.25">
      <c r="B64" s="88">
        <v>8</v>
      </c>
      <c r="C64" s="88">
        <v>28</v>
      </c>
      <c r="D64" s="1">
        <f t="shared" si="3"/>
        <v>28.339238832816477</v>
      </c>
      <c r="E64" s="1">
        <f t="shared" si="4"/>
        <v>0.11508298569068566</v>
      </c>
      <c r="H64" s="2"/>
      <c r="I64" s="93"/>
    </row>
    <row r="65" spans="2:9" x14ac:dyDescent="0.25">
      <c r="B65" s="88">
        <v>8</v>
      </c>
      <c r="C65" s="88">
        <v>28</v>
      </c>
      <c r="D65" s="1">
        <f t="shared" si="3"/>
        <v>28.339238832816477</v>
      </c>
      <c r="E65" s="1">
        <f t="shared" si="4"/>
        <v>0.11508298569068566</v>
      </c>
      <c r="H65" s="2"/>
      <c r="I65" s="93"/>
    </row>
    <row r="66" spans="2:9" x14ac:dyDescent="0.25">
      <c r="B66" s="88">
        <v>8</v>
      </c>
      <c r="C66" s="88">
        <v>29</v>
      </c>
      <c r="D66" s="1">
        <f t="shared" si="3"/>
        <v>28.339238832816477</v>
      </c>
      <c r="E66" s="1">
        <f t="shared" si="4"/>
        <v>0.43660532005773156</v>
      </c>
      <c r="H66" s="2"/>
      <c r="I66" s="93"/>
    </row>
    <row r="67" spans="2:9" x14ac:dyDescent="0.25">
      <c r="B67" s="88">
        <v>8</v>
      </c>
      <c r="C67" s="88">
        <v>30</v>
      </c>
      <c r="D67" s="1">
        <f t="shared" si="3"/>
        <v>28.339238832816477</v>
      </c>
      <c r="E67" s="1">
        <f t="shared" si="4"/>
        <v>2.7581276544247775</v>
      </c>
      <c r="H67" s="2"/>
      <c r="I67" s="93"/>
    </row>
    <row r="68" spans="2:9" x14ac:dyDescent="0.25">
      <c r="B68" s="88">
        <v>8</v>
      </c>
      <c r="C68" s="88">
        <v>31</v>
      </c>
      <c r="D68" s="1">
        <f t="shared" si="3"/>
        <v>28.339238832816477</v>
      </c>
      <c r="E68" s="1">
        <f t="shared" si="4"/>
        <v>7.0796499887918234</v>
      </c>
      <c r="H68" s="2"/>
      <c r="I68" s="93"/>
    </row>
    <row r="69" spans="2:9" x14ac:dyDescent="0.25">
      <c r="B69" s="88">
        <v>8</v>
      </c>
      <c r="C69" s="88">
        <v>32</v>
      </c>
      <c r="D69" s="1">
        <f t="shared" si="3"/>
        <v>28.339238832816477</v>
      </c>
      <c r="E69" s="1">
        <f t="shared" si="4"/>
        <v>13.401172323158869</v>
      </c>
      <c r="H69" s="2"/>
      <c r="I69" s="93"/>
    </row>
    <row r="70" spans="2:9" x14ac:dyDescent="0.25">
      <c r="B70" s="88">
        <v>8</v>
      </c>
      <c r="C70" s="88">
        <v>34</v>
      </c>
      <c r="D70" s="1">
        <f t="shared" si="3"/>
        <v>28.339238832816477</v>
      </c>
      <c r="E70" s="1">
        <f t="shared" si="4"/>
        <v>32.044216991892959</v>
      </c>
      <c r="H70" s="2"/>
      <c r="I70" s="93"/>
    </row>
    <row r="71" spans="2:9" x14ac:dyDescent="0.25">
      <c r="B71" s="88">
        <v>7</v>
      </c>
      <c r="C71" s="88">
        <v>19</v>
      </c>
      <c r="D71" s="1">
        <f t="shared" si="3"/>
        <v>26.322971748669808</v>
      </c>
      <c r="E71" s="1">
        <f t="shared" si="4"/>
        <v>53.625915231816144</v>
      </c>
      <c r="H71" s="2"/>
      <c r="I71" s="93"/>
    </row>
    <row r="72" spans="2:9" x14ac:dyDescent="0.25">
      <c r="B72" s="88">
        <v>7</v>
      </c>
      <c r="C72" s="88">
        <v>20</v>
      </c>
      <c r="D72" s="1">
        <f t="shared" si="3"/>
        <v>26.322971748669808</v>
      </c>
      <c r="E72" s="1">
        <f t="shared" si="4"/>
        <v>39.979971734476528</v>
      </c>
      <c r="H72" s="2"/>
      <c r="I72" s="93"/>
    </row>
    <row r="73" spans="2:9" x14ac:dyDescent="0.25">
      <c r="B73" s="88">
        <v>7</v>
      </c>
      <c r="C73" s="88">
        <v>21</v>
      </c>
      <c r="D73" s="1">
        <f t="shared" si="3"/>
        <v>26.322971748669808</v>
      </c>
      <c r="E73" s="1">
        <f t="shared" si="4"/>
        <v>28.334028237136913</v>
      </c>
      <c r="H73" s="2"/>
      <c r="I73" s="93"/>
    </row>
    <row r="74" spans="2:9" x14ac:dyDescent="0.25">
      <c r="B74" s="88">
        <v>7</v>
      </c>
      <c r="C74" s="88">
        <v>25</v>
      </c>
      <c r="D74" s="1">
        <f t="shared" si="3"/>
        <v>26.322971748669808</v>
      </c>
      <c r="E74" s="1">
        <f t="shared" si="4"/>
        <v>1.7502542477784491</v>
      </c>
      <c r="H74" s="2"/>
      <c r="I74" s="93"/>
    </row>
    <row r="75" spans="2:9" x14ac:dyDescent="0.25">
      <c r="B75" s="88">
        <v>7</v>
      </c>
      <c r="C75" s="88">
        <v>28</v>
      </c>
      <c r="D75" s="1">
        <f t="shared" si="3"/>
        <v>26.322971748669808</v>
      </c>
      <c r="E75" s="1">
        <f t="shared" si="4"/>
        <v>2.8124237557596024</v>
      </c>
    </row>
    <row r="76" spans="2:9" x14ac:dyDescent="0.25">
      <c r="B76" s="88">
        <v>7</v>
      </c>
      <c r="C76" s="88">
        <v>29</v>
      </c>
      <c r="D76" s="1">
        <f t="shared" si="3"/>
        <v>26.322971748669808</v>
      </c>
      <c r="E76" s="1">
        <f t="shared" si="4"/>
        <v>7.1664802584199867</v>
      </c>
    </row>
    <row r="77" spans="2:9" x14ac:dyDescent="0.25">
      <c r="B77" s="88">
        <v>7</v>
      </c>
      <c r="C77" s="88">
        <v>30</v>
      </c>
      <c r="D77" s="1">
        <f t="shared" si="3"/>
        <v>26.322971748669808</v>
      </c>
      <c r="E77" s="1">
        <f t="shared" si="4"/>
        <v>13.52053676108037</v>
      </c>
    </row>
    <row r="78" spans="2:9" x14ac:dyDescent="0.25">
      <c r="B78" s="88">
        <v>6</v>
      </c>
      <c r="C78" s="88">
        <v>18</v>
      </c>
      <c r="D78" s="1">
        <f t="shared" si="3"/>
        <v>24.186720596716587</v>
      </c>
      <c r="E78" s="1">
        <f t="shared" si="4"/>
        <v>38.275511741837235</v>
      </c>
    </row>
    <row r="79" spans="2:9" x14ac:dyDescent="0.25">
      <c r="B79" s="88">
        <v>6</v>
      </c>
      <c r="C79" s="88">
        <v>19</v>
      </c>
      <c r="D79" s="1">
        <f t="shared" si="3"/>
        <v>24.186720596716587</v>
      </c>
      <c r="E79" s="1">
        <f t="shared" si="4"/>
        <v>26.902070548404065</v>
      </c>
    </row>
    <row r="80" spans="2:9" x14ac:dyDescent="0.25">
      <c r="B80" s="88">
        <v>6</v>
      </c>
      <c r="C80" s="88">
        <v>21</v>
      </c>
      <c r="D80" s="1">
        <f t="shared" si="3"/>
        <v>24.186720596716587</v>
      </c>
      <c r="E80" s="1">
        <f t="shared" si="4"/>
        <v>10.155188161537717</v>
      </c>
    </row>
    <row r="81" spans="2:5" x14ac:dyDescent="0.25">
      <c r="B81" s="88">
        <v>6</v>
      </c>
      <c r="C81" s="88">
        <v>22</v>
      </c>
      <c r="D81" s="1">
        <f t="shared" si="3"/>
        <v>24.186720596716587</v>
      </c>
      <c r="E81" s="1">
        <f t="shared" si="4"/>
        <v>4.7817469681045441</v>
      </c>
    </row>
    <row r="82" spans="2:5" x14ac:dyDescent="0.25">
      <c r="B82" s="88">
        <v>6</v>
      </c>
      <c r="C82" s="88">
        <v>24</v>
      </c>
      <c r="D82" s="1">
        <f t="shared" si="3"/>
        <v>24.186720596716587</v>
      </c>
      <c r="E82" s="1">
        <f t="shared" si="4"/>
        <v>3.4864581238198168E-2</v>
      </c>
    </row>
    <row r="83" spans="2:5" x14ac:dyDescent="0.25">
      <c r="B83" s="88">
        <v>6</v>
      </c>
      <c r="C83" s="88">
        <v>25</v>
      </c>
      <c r="D83" s="1">
        <f t="shared" si="3"/>
        <v>24.186720596716587</v>
      </c>
      <c r="E83" s="1">
        <f t="shared" si="4"/>
        <v>0.66142338780502496</v>
      </c>
    </row>
    <row r="84" spans="2:5" x14ac:dyDescent="0.25">
      <c r="B84" s="88">
        <v>6</v>
      </c>
      <c r="C84" s="88">
        <v>26</v>
      </c>
      <c r="D84" s="1">
        <f t="shared" si="3"/>
        <v>24.186720596716587</v>
      </c>
      <c r="E84" s="1">
        <f t="shared" si="4"/>
        <v>3.2879821943718519</v>
      </c>
    </row>
    <row r="85" spans="2:5" x14ac:dyDescent="0.25">
      <c r="B85" s="88">
        <v>6</v>
      </c>
      <c r="C85" s="88">
        <v>28</v>
      </c>
      <c r="D85" s="1">
        <f t="shared" si="3"/>
        <v>24.186720596716587</v>
      </c>
      <c r="E85" s="1">
        <f t="shared" si="4"/>
        <v>14.541099807505505</v>
      </c>
    </row>
    <row r="86" spans="2:5" x14ac:dyDescent="0.25">
      <c r="B86" s="88">
        <v>6</v>
      </c>
      <c r="C86" s="88">
        <v>29</v>
      </c>
      <c r="D86" s="1">
        <f t="shared" si="3"/>
        <v>24.186720596716587</v>
      </c>
      <c r="E86" s="1">
        <f t="shared" si="4"/>
        <v>23.167658614072334</v>
      </c>
    </row>
    <row r="87" spans="2:5" x14ac:dyDescent="0.25">
      <c r="B87" s="88">
        <v>5</v>
      </c>
      <c r="C87" s="88">
        <v>19</v>
      </c>
      <c r="D87" s="1">
        <f t="shared" si="3"/>
        <v>21.923345362302697</v>
      </c>
      <c r="E87" s="1">
        <f t="shared" si="4"/>
        <v>8.5459481072966899</v>
      </c>
    </row>
    <row r="88" spans="2:5" x14ac:dyDescent="0.25">
      <c r="B88" s="88">
        <v>5</v>
      </c>
      <c r="C88" s="88">
        <v>20</v>
      </c>
      <c r="D88" s="1">
        <f t="shared" si="3"/>
        <v>21.923345362302697</v>
      </c>
      <c r="E88" s="1">
        <f t="shared" si="4"/>
        <v>3.6992573826912944</v>
      </c>
    </row>
    <row r="89" spans="2:5" x14ac:dyDescent="0.25">
      <c r="B89" s="88">
        <v>5</v>
      </c>
      <c r="C89" s="88">
        <v>21</v>
      </c>
      <c r="D89" s="1">
        <f t="shared" si="3"/>
        <v>21.923345362302697</v>
      </c>
      <c r="E89" s="1">
        <f t="shared" si="4"/>
        <v>0.85256665808589971</v>
      </c>
    </row>
    <row r="90" spans="2:5" x14ac:dyDescent="0.25">
      <c r="B90" s="88">
        <v>5</v>
      </c>
      <c r="C90" s="88">
        <v>22</v>
      </c>
      <c r="D90" s="1">
        <f t="shared" si="3"/>
        <v>21.923345362302697</v>
      </c>
      <c r="E90" s="1">
        <f t="shared" si="4"/>
        <v>5.8759334805047123E-3</v>
      </c>
    </row>
    <row r="91" spans="2:5" x14ac:dyDescent="0.25">
      <c r="B91" s="88">
        <v>5</v>
      </c>
      <c r="C91" s="88">
        <v>23</v>
      </c>
      <c r="D91" s="1">
        <f t="shared" si="3"/>
        <v>21.923345362302697</v>
      </c>
      <c r="E91" s="1">
        <f t="shared" si="4"/>
        <v>1.1591852088751098</v>
      </c>
    </row>
    <row r="92" spans="2:5" x14ac:dyDescent="0.25">
      <c r="B92" s="88">
        <v>5</v>
      </c>
      <c r="C92" s="88">
        <v>24</v>
      </c>
      <c r="D92" s="1">
        <f t="shared" si="3"/>
        <v>21.923345362302697</v>
      </c>
      <c r="E92" s="1">
        <f t="shared" si="4"/>
        <v>4.312494484269715</v>
      </c>
    </row>
    <row r="93" spans="2:5" x14ac:dyDescent="0.25">
      <c r="B93" s="88">
        <v>5</v>
      </c>
      <c r="C93" s="88">
        <v>25</v>
      </c>
      <c r="D93" s="1">
        <f t="shared" si="3"/>
        <v>21.923345362302697</v>
      </c>
      <c r="E93" s="1">
        <f t="shared" si="4"/>
        <v>9.4658037596643201</v>
      </c>
    </row>
    <row r="94" spans="2:5" x14ac:dyDescent="0.25">
      <c r="B94" s="88">
        <v>5</v>
      </c>
      <c r="C94" s="88">
        <v>26</v>
      </c>
      <c r="D94" s="1">
        <f t="shared" si="3"/>
        <v>21.923345362302697</v>
      </c>
      <c r="E94" s="1">
        <f t="shared" si="4"/>
        <v>16.619113035058923</v>
      </c>
    </row>
    <row r="95" spans="2:5" x14ac:dyDescent="0.25">
      <c r="B95" s="88">
        <v>4</v>
      </c>
      <c r="C95" s="88">
        <v>18</v>
      </c>
      <c r="D95" s="1">
        <f t="shared" si="3"/>
        <v>19.52528114261851</v>
      </c>
      <c r="E95" s="1">
        <f t="shared" si="4"/>
        <v>2.326482564027629</v>
      </c>
    </row>
    <row r="96" spans="2:5" x14ac:dyDescent="0.25">
      <c r="B96" s="88">
        <v>4</v>
      </c>
      <c r="C96" s="88">
        <v>19</v>
      </c>
      <c r="D96" s="1">
        <f t="shared" si="3"/>
        <v>19.52528114261851</v>
      </c>
      <c r="E96" s="1">
        <f t="shared" si="4"/>
        <v>0.27592027879060793</v>
      </c>
    </row>
    <row r="97" spans="2:5" x14ac:dyDescent="0.25">
      <c r="B97" s="88">
        <v>4</v>
      </c>
      <c r="C97" s="88">
        <v>21</v>
      </c>
      <c r="D97" s="1">
        <f t="shared" si="3"/>
        <v>19.52528114261851</v>
      </c>
      <c r="E97" s="1">
        <f t="shared" si="4"/>
        <v>2.1747957083165663</v>
      </c>
    </row>
    <row r="98" spans="2:5" x14ac:dyDescent="0.25">
      <c r="B98" s="88">
        <v>4</v>
      </c>
      <c r="C98" s="88">
        <v>21</v>
      </c>
      <c r="D98" s="1">
        <f t="shared" si="3"/>
        <v>19.52528114261851</v>
      </c>
      <c r="E98" s="1">
        <f t="shared" si="4"/>
        <v>2.1747957083165663</v>
      </c>
    </row>
    <row r="99" spans="2:5" x14ac:dyDescent="0.25">
      <c r="B99" s="88">
        <v>3</v>
      </c>
      <c r="C99" s="88">
        <v>19</v>
      </c>
      <c r="D99" s="1">
        <f t="shared" ref="D99" si="6">$D$16*(1-EXP(-$D$15*(B99-$D$17)))</f>
        <v>16.984512862444809</v>
      </c>
      <c r="E99" s="1">
        <f t="shared" ref="E99" si="7">(D99-C99)^2</f>
        <v>4.0621884016504159</v>
      </c>
    </row>
    <row r="100" spans="2:5" x14ac:dyDescent="0.25">
      <c r="B100" s="211" t="s">
        <v>78</v>
      </c>
      <c r="C100" s="211"/>
      <c r="D100" s="211"/>
      <c r="E100" s="94">
        <f>SUM(E21:E99)</f>
        <v>1443.5486189138155</v>
      </c>
    </row>
  </sheetData>
  <mergeCells count="7">
    <mergeCell ref="B2:J10"/>
    <mergeCell ref="L2:T17"/>
    <mergeCell ref="B100:D100"/>
    <mergeCell ref="B13:D13"/>
    <mergeCell ref="B19:C19"/>
    <mergeCell ref="D19:E19"/>
    <mergeCell ref="H19:I19"/>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40"/>
  <sheetViews>
    <sheetView workbookViewId="0">
      <selection activeCell="J14" sqref="J14"/>
    </sheetView>
  </sheetViews>
  <sheetFormatPr defaultRowHeight="15" x14ac:dyDescent="0.25"/>
  <cols>
    <col min="1" max="1" width="3.28515625" customWidth="1"/>
    <col min="5" max="5" width="9.42578125" bestFit="1" customWidth="1"/>
    <col min="7" max="7" width="13.7109375" bestFit="1" customWidth="1"/>
    <col min="12" max="12" width="12.42578125" customWidth="1"/>
    <col min="17" max="17" width="12.28515625" customWidth="1"/>
    <col min="18" max="18" width="11.5703125" customWidth="1"/>
    <col min="20" max="20" width="5.140625" customWidth="1"/>
  </cols>
  <sheetData>
    <row r="1" spans="2:20" ht="15.75" thickBot="1" x14ac:dyDescent="0.3"/>
    <row r="2" spans="2:20" ht="15" customHeight="1" x14ac:dyDescent="0.25">
      <c r="B2" s="219" t="s">
        <v>80</v>
      </c>
      <c r="C2" s="215"/>
      <c r="D2" s="215"/>
      <c r="E2" s="215"/>
      <c r="F2" s="215"/>
      <c r="G2" s="215"/>
      <c r="H2" s="215"/>
      <c r="I2" s="215"/>
      <c r="J2" s="220"/>
      <c r="L2" s="199" t="s">
        <v>87</v>
      </c>
      <c r="M2" s="200"/>
      <c r="N2" s="200"/>
      <c r="O2" s="200"/>
      <c r="P2" s="200"/>
      <c r="Q2" s="200"/>
      <c r="R2" s="200"/>
      <c r="S2" s="200"/>
      <c r="T2" s="201"/>
    </row>
    <row r="3" spans="2:20" x14ac:dyDescent="0.25">
      <c r="B3" s="221"/>
      <c r="C3" s="216"/>
      <c r="D3" s="216"/>
      <c r="E3" s="216"/>
      <c r="F3" s="216"/>
      <c r="G3" s="216"/>
      <c r="H3" s="216"/>
      <c r="I3" s="216"/>
      <c r="J3" s="222"/>
      <c r="L3" s="202"/>
      <c r="M3" s="203"/>
      <c r="N3" s="203"/>
      <c r="O3" s="203"/>
      <c r="P3" s="203"/>
      <c r="Q3" s="203"/>
      <c r="R3" s="203"/>
      <c r="S3" s="203"/>
      <c r="T3" s="204"/>
    </row>
    <row r="4" spans="2:20" x14ac:dyDescent="0.25">
      <c r="B4" s="221"/>
      <c r="C4" s="216"/>
      <c r="D4" s="216"/>
      <c r="E4" s="216"/>
      <c r="F4" s="216"/>
      <c r="G4" s="216"/>
      <c r="H4" s="216"/>
      <c r="I4" s="216"/>
      <c r="J4" s="222"/>
      <c r="L4" s="202"/>
      <c r="M4" s="203"/>
      <c r="N4" s="203"/>
      <c r="O4" s="203"/>
      <c r="P4" s="203"/>
      <c r="Q4" s="203"/>
      <c r="R4" s="203"/>
      <c r="S4" s="203"/>
      <c r="T4" s="204"/>
    </row>
    <row r="5" spans="2:20" x14ac:dyDescent="0.25">
      <c r="B5" s="221"/>
      <c r="C5" s="216"/>
      <c r="D5" s="216"/>
      <c r="E5" s="216"/>
      <c r="F5" s="216"/>
      <c r="G5" s="216"/>
      <c r="H5" s="216"/>
      <c r="I5" s="216"/>
      <c r="J5" s="222"/>
      <c r="L5" s="202"/>
      <c r="M5" s="203"/>
      <c r="N5" s="203"/>
      <c r="O5" s="203"/>
      <c r="P5" s="203"/>
      <c r="Q5" s="203"/>
      <c r="R5" s="203"/>
      <c r="S5" s="203"/>
      <c r="T5" s="204"/>
    </row>
    <row r="6" spans="2:20" x14ac:dyDescent="0.25">
      <c r="B6" s="221"/>
      <c r="C6" s="216"/>
      <c r="D6" s="216"/>
      <c r="E6" s="216"/>
      <c r="F6" s="216"/>
      <c r="G6" s="216"/>
      <c r="H6" s="216"/>
      <c r="I6" s="216"/>
      <c r="J6" s="222"/>
      <c r="L6" s="202"/>
      <c r="M6" s="203"/>
      <c r="N6" s="203"/>
      <c r="O6" s="203"/>
      <c r="P6" s="203"/>
      <c r="Q6" s="203"/>
      <c r="R6" s="203"/>
      <c r="S6" s="203"/>
      <c r="T6" s="204"/>
    </row>
    <row r="7" spans="2:20" x14ac:dyDescent="0.25">
      <c r="B7" s="221"/>
      <c r="C7" s="216"/>
      <c r="D7" s="216"/>
      <c r="E7" s="216"/>
      <c r="F7" s="216"/>
      <c r="G7" s="216"/>
      <c r="H7" s="216"/>
      <c r="I7" s="216"/>
      <c r="J7" s="222"/>
      <c r="L7" s="202"/>
      <c r="M7" s="203"/>
      <c r="N7" s="203"/>
      <c r="O7" s="203"/>
      <c r="P7" s="203"/>
      <c r="Q7" s="203"/>
      <c r="R7" s="203"/>
      <c r="S7" s="203"/>
      <c r="T7" s="204"/>
    </row>
    <row r="8" spans="2:20" x14ac:dyDescent="0.25">
      <c r="B8" s="221"/>
      <c r="C8" s="216"/>
      <c r="D8" s="216"/>
      <c r="E8" s="216"/>
      <c r="F8" s="216"/>
      <c r="G8" s="216"/>
      <c r="H8" s="216"/>
      <c r="I8" s="216"/>
      <c r="J8" s="222"/>
      <c r="L8" s="202"/>
      <c r="M8" s="203"/>
      <c r="N8" s="203"/>
      <c r="O8" s="203"/>
      <c r="P8" s="203"/>
      <c r="Q8" s="203"/>
      <c r="R8" s="203"/>
      <c r="S8" s="203"/>
      <c r="T8" s="204"/>
    </row>
    <row r="9" spans="2:20" x14ac:dyDescent="0.25">
      <c r="B9" s="221"/>
      <c r="C9" s="216"/>
      <c r="D9" s="216"/>
      <c r="E9" s="216"/>
      <c r="F9" s="216"/>
      <c r="G9" s="216"/>
      <c r="H9" s="216"/>
      <c r="I9" s="216"/>
      <c r="J9" s="222"/>
      <c r="L9" s="202"/>
      <c r="M9" s="203"/>
      <c r="N9" s="203"/>
      <c r="O9" s="203"/>
      <c r="P9" s="203"/>
      <c r="Q9" s="203"/>
      <c r="R9" s="203"/>
      <c r="S9" s="203"/>
      <c r="T9" s="204"/>
    </row>
    <row r="10" spans="2:20" x14ac:dyDescent="0.25">
      <c r="B10" s="221"/>
      <c r="C10" s="216"/>
      <c r="D10" s="216"/>
      <c r="E10" s="216"/>
      <c r="F10" s="216"/>
      <c r="G10" s="216"/>
      <c r="H10" s="216"/>
      <c r="I10" s="216"/>
      <c r="J10" s="222"/>
      <c r="L10" s="202"/>
      <c r="M10" s="203"/>
      <c r="N10" s="203"/>
      <c r="O10" s="203"/>
      <c r="P10" s="203"/>
      <c r="Q10" s="203"/>
      <c r="R10" s="203"/>
      <c r="S10" s="203"/>
      <c r="T10" s="204"/>
    </row>
    <row r="11" spans="2:20" ht="15.75" thickBot="1" x14ac:dyDescent="0.3">
      <c r="B11" s="223"/>
      <c r="C11" s="224"/>
      <c r="D11" s="224"/>
      <c r="E11" s="224"/>
      <c r="F11" s="224"/>
      <c r="G11" s="224"/>
      <c r="H11" s="224"/>
      <c r="I11" s="224"/>
      <c r="J11" s="225"/>
      <c r="L11" s="202"/>
      <c r="M11" s="203"/>
      <c r="N11" s="203"/>
      <c r="O11" s="203"/>
      <c r="P11" s="203"/>
      <c r="Q11" s="203"/>
      <c r="R11" s="203"/>
      <c r="S11" s="203"/>
      <c r="T11" s="204"/>
    </row>
    <row r="12" spans="2:20" x14ac:dyDescent="0.25">
      <c r="L12" s="202"/>
      <c r="M12" s="203"/>
      <c r="N12" s="203"/>
      <c r="O12" s="203"/>
      <c r="P12" s="203"/>
      <c r="Q12" s="203"/>
      <c r="R12" s="203"/>
      <c r="S12" s="203"/>
      <c r="T12" s="204"/>
    </row>
    <row r="13" spans="2:20" ht="15.75" thickBot="1" x14ac:dyDescent="0.3">
      <c r="L13" s="202"/>
      <c r="M13" s="203"/>
      <c r="N13" s="203"/>
      <c r="O13" s="203"/>
      <c r="P13" s="203"/>
      <c r="Q13" s="203"/>
      <c r="R13" s="203"/>
      <c r="S13" s="203"/>
      <c r="T13" s="204"/>
    </row>
    <row r="14" spans="2:20" ht="15.75" thickTop="1" x14ac:dyDescent="0.25">
      <c r="B14" s="212" t="s">
        <v>74</v>
      </c>
      <c r="C14" s="213"/>
      <c r="D14" s="214"/>
      <c r="G14" s="91" t="s">
        <v>84</v>
      </c>
      <c r="L14" s="202"/>
      <c r="M14" s="203"/>
      <c r="N14" s="203"/>
      <c r="O14" s="203"/>
      <c r="P14" s="203"/>
      <c r="Q14" s="203"/>
      <c r="R14" s="203"/>
      <c r="S14" s="203"/>
      <c r="T14" s="204"/>
    </row>
    <row r="15" spans="2:20" ht="15.75" thickBot="1" x14ac:dyDescent="0.3">
      <c r="B15" s="80" t="s">
        <v>2</v>
      </c>
      <c r="C15" s="79" t="s">
        <v>3</v>
      </c>
      <c r="D15" s="81" t="s">
        <v>4</v>
      </c>
      <c r="G15" s="92">
        <f>SUM(E21:E34)</f>
        <v>5203.3394951123219</v>
      </c>
      <c r="L15" s="202"/>
      <c r="M15" s="203"/>
      <c r="N15" s="203"/>
      <c r="O15" s="203"/>
      <c r="P15" s="203"/>
      <c r="Q15" s="203"/>
      <c r="R15" s="203"/>
      <c r="S15" s="203"/>
      <c r="T15" s="204"/>
    </row>
    <row r="16" spans="2:20" ht="15.75" thickBot="1" x14ac:dyDescent="0.3">
      <c r="B16" s="82" t="s">
        <v>11</v>
      </c>
      <c r="C16" s="13">
        <v>0.05</v>
      </c>
      <c r="D16" s="85">
        <v>9.356073038760597E-2</v>
      </c>
      <c r="L16" s="205"/>
      <c r="M16" s="206"/>
      <c r="N16" s="206"/>
      <c r="O16" s="206"/>
      <c r="P16" s="206"/>
      <c r="Q16" s="206"/>
      <c r="R16" s="206"/>
      <c r="S16" s="206"/>
      <c r="T16" s="207"/>
    </row>
    <row r="17" spans="2:8" ht="15.75" thickBot="1" x14ac:dyDescent="0.3">
      <c r="B17" s="83" t="s">
        <v>12</v>
      </c>
      <c r="C17" s="84">
        <v>3</v>
      </c>
      <c r="D17" s="86">
        <v>2.5746214890699322</v>
      </c>
    </row>
    <row r="18" spans="2:8" ht="15.75" thickTop="1" x14ac:dyDescent="0.25"/>
    <row r="19" spans="2:8" x14ac:dyDescent="0.25">
      <c r="B19" s="217" t="s">
        <v>76</v>
      </c>
      <c r="C19" s="218"/>
      <c r="D19" s="210" t="s">
        <v>77</v>
      </c>
      <c r="E19" s="210"/>
      <c r="G19" s="208" t="s">
        <v>75</v>
      </c>
      <c r="H19" s="208"/>
    </row>
    <row r="20" spans="2:8" ht="18" x14ac:dyDescent="0.35">
      <c r="B20" s="100" t="s">
        <v>19</v>
      </c>
      <c r="C20" s="87" t="s">
        <v>81</v>
      </c>
      <c r="D20" s="95" t="s">
        <v>82</v>
      </c>
      <c r="E20" s="96" t="s">
        <v>10</v>
      </c>
      <c r="G20" s="99" t="s">
        <v>19</v>
      </c>
      <c r="H20" s="99" t="s">
        <v>82</v>
      </c>
    </row>
    <row r="21" spans="2:8" x14ac:dyDescent="0.25">
      <c r="B21">
        <v>4.0999999999999996</v>
      </c>
      <c r="C21">
        <v>46.8</v>
      </c>
      <c r="D21" s="3">
        <f>$D$16*B21^$D$17</f>
        <v>3.5381813515617599</v>
      </c>
      <c r="E21" s="3">
        <f>(D21-C21)^2</f>
        <v>1871.5849527703583</v>
      </c>
      <c r="G21">
        <v>0</v>
      </c>
      <c r="H21">
        <f>$D$16*G21^$D$17</f>
        <v>0</v>
      </c>
    </row>
    <row r="22" spans="2:8" x14ac:dyDescent="0.25">
      <c r="B22">
        <v>10.6</v>
      </c>
      <c r="C22">
        <v>60.2</v>
      </c>
      <c r="D22" s="3">
        <f t="shared" ref="D22:D34" si="0">$D$16*B22^$D$17</f>
        <v>40.819541013496021</v>
      </c>
      <c r="E22" s="3">
        <f t="shared" ref="E22:E34" si="1">(D22-C22)^2</f>
        <v>375.60219052756293</v>
      </c>
      <c r="G22">
        <v>2</v>
      </c>
      <c r="H22">
        <f t="shared" ref="H22:H30" si="2">$D$16*G22^$D$17</f>
        <v>0.55735499701644708</v>
      </c>
    </row>
    <row r="23" spans="2:8" x14ac:dyDescent="0.25">
      <c r="B23">
        <v>17.600000000000001</v>
      </c>
      <c r="C23">
        <v>183.7</v>
      </c>
      <c r="D23" s="3">
        <f t="shared" si="0"/>
        <v>150.59733374743038</v>
      </c>
      <c r="E23" s="3">
        <f t="shared" si="1"/>
        <v>1095.7865130290106</v>
      </c>
      <c r="G23">
        <v>4</v>
      </c>
      <c r="H23">
        <f t="shared" si="2"/>
        <v>3.3202454856033805</v>
      </c>
    </row>
    <row r="24" spans="2:8" x14ac:dyDescent="0.25">
      <c r="B24">
        <v>21.5</v>
      </c>
      <c r="C24">
        <v>278.7</v>
      </c>
      <c r="D24" s="3">
        <f t="shared" si="0"/>
        <v>252.12638403154011</v>
      </c>
      <c r="E24" s="3">
        <f t="shared" si="1"/>
        <v>706.1570656391857</v>
      </c>
      <c r="G24">
        <v>6</v>
      </c>
      <c r="H24">
        <f t="shared" si="2"/>
        <v>9.430582842929855</v>
      </c>
    </row>
    <row r="25" spans="2:8" x14ac:dyDescent="0.25">
      <c r="B25">
        <v>25.4</v>
      </c>
      <c r="C25">
        <v>368.7</v>
      </c>
      <c r="D25" s="3">
        <f t="shared" si="0"/>
        <v>387.26538389840573</v>
      </c>
      <c r="E25" s="3">
        <f t="shared" si="1"/>
        <v>344.67347929518314</v>
      </c>
      <c r="G25">
        <v>8</v>
      </c>
      <c r="H25">
        <f t="shared" si="2"/>
        <v>19.779189463953653</v>
      </c>
    </row>
    <row r="26" spans="2:8" x14ac:dyDescent="0.25">
      <c r="B26">
        <v>26.7</v>
      </c>
      <c r="C26">
        <v>425.9</v>
      </c>
      <c r="D26" s="3">
        <f t="shared" si="0"/>
        <v>440.37246015525346</v>
      </c>
      <c r="E26" s="3">
        <f t="shared" si="1"/>
        <v>209.45210294539976</v>
      </c>
      <c r="G26">
        <v>10</v>
      </c>
      <c r="H26">
        <f t="shared" si="2"/>
        <v>35.132988421302379</v>
      </c>
    </row>
    <row r="27" spans="2:8" x14ac:dyDescent="0.25">
      <c r="B27">
        <v>28.2</v>
      </c>
      <c r="C27">
        <v>490.3</v>
      </c>
      <c r="D27" s="3">
        <f t="shared" si="0"/>
        <v>506.91614359560822</v>
      </c>
      <c r="E27" s="3">
        <f t="shared" si="1"/>
        <v>276.09622798987164</v>
      </c>
      <c r="G27">
        <v>12</v>
      </c>
      <c r="H27">
        <f t="shared" si="2"/>
        <v>56.179365536257279</v>
      </c>
    </row>
    <row r="28" spans="2:8" x14ac:dyDescent="0.25">
      <c r="B28">
        <v>30.1</v>
      </c>
      <c r="C28">
        <v>589.9</v>
      </c>
      <c r="D28" s="3">
        <f t="shared" si="0"/>
        <v>599.57384024870339</v>
      </c>
      <c r="E28" s="3">
        <f t="shared" si="1"/>
        <v>93.58318515743413</v>
      </c>
      <c r="G28">
        <v>14</v>
      </c>
      <c r="H28">
        <f t="shared" si="2"/>
        <v>83.548657028049561</v>
      </c>
    </row>
    <row r="29" spans="2:8" x14ac:dyDescent="0.25">
      <c r="B29">
        <v>31.8</v>
      </c>
      <c r="C29">
        <v>683.2</v>
      </c>
      <c r="D29" s="3">
        <f t="shared" si="0"/>
        <v>690.67661579929677</v>
      </c>
      <c r="E29" s="3">
        <f t="shared" si="1"/>
        <v>55.899783810293385</v>
      </c>
      <c r="G29">
        <v>16</v>
      </c>
      <c r="H29">
        <f t="shared" si="2"/>
        <v>117.82753339995287</v>
      </c>
    </row>
    <row r="30" spans="2:8" x14ac:dyDescent="0.25">
      <c r="B30">
        <v>33.4</v>
      </c>
      <c r="C30">
        <v>780.8</v>
      </c>
      <c r="D30" s="3">
        <f t="shared" si="0"/>
        <v>783.72554195591044</v>
      </c>
      <c r="E30" s="3">
        <f t="shared" si="1"/>
        <v>8.5587957357925717</v>
      </c>
      <c r="G30">
        <v>18</v>
      </c>
      <c r="H30">
        <f t="shared" si="2"/>
        <v>159.56776782022558</v>
      </c>
    </row>
    <row r="31" spans="2:8" x14ac:dyDescent="0.25">
      <c r="B31">
        <v>34.6</v>
      </c>
      <c r="C31">
        <v>861.5</v>
      </c>
      <c r="D31" s="3">
        <f t="shared" si="0"/>
        <v>858.2859450770701</v>
      </c>
      <c r="E31" s="3">
        <f t="shared" si="1"/>
        <v>10.330149047609952</v>
      </c>
      <c r="G31">
        <v>20</v>
      </c>
      <c r="H31">
        <f>$D$16*G31^$D$17</f>
        <v>209.29236631235008</v>
      </c>
    </row>
    <row r="32" spans="2:8" x14ac:dyDescent="0.25">
      <c r="B32">
        <v>35.5</v>
      </c>
      <c r="C32">
        <v>920.9</v>
      </c>
      <c r="D32" s="3">
        <f t="shared" si="0"/>
        <v>916.9482674078796</v>
      </c>
      <c r="E32" s="3">
        <f t="shared" si="1"/>
        <v>15.616190479626452</v>
      </c>
      <c r="G32">
        <v>22</v>
      </c>
      <c r="H32">
        <f t="shared" ref="H32:H40" si="3">$D$16*G32^$D$17</f>
        <v>267.50006073150143</v>
      </c>
    </row>
    <row r="33" spans="2:8" x14ac:dyDescent="0.25">
      <c r="B33">
        <v>36.299999999999997</v>
      </c>
      <c r="C33">
        <v>980.7</v>
      </c>
      <c r="D33" s="3">
        <f t="shared" si="0"/>
        <v>971.09724326859146</v>
      </c>
      <c r="E33" s="3">
        <f t="shared" si="1"/>
        <v>92.21293684261299</v>
      </c>
      <c r="G33">
        <v>24</v>
      </c>
      <c r="H33">
        <f t="shared" si="3"/>
        <v>334.66872245574569</v>
      </c>
    </row>
    <row r="34" spans="2:8" x14ac:dyDescent="0.25">
      <c r="B34">
        <v>36.700000000000003</v>
      </c>
      <c r="C34">
        <v>1005.8</v>
      </c>
      <c r="D34" s="3">
        <f t="shared" si="0"/>
        <v>998.88726379482182</v>
      </c>
      <c r="E34" s="3">
        <f t="shared" si="1"/>
        <v>47.785921842380596</v>
      </c>
      <c r="G34">
        <v>26</v>
      </c>
      <c r="H34">
        <f t="shared" si="3"/>
        <v>411.25803076311388</v>
      </c>
    </row>
    <row r="35" spans="2:8" x14ac:dyDescent="0.25">
      <c r="E35" s="3"/>
      <c r="G35">
        <v>28</v>
      </c>
      <c r="H35">
        <f t="shared" si="3"/>
        <v>497.71160716339773</v>
      </c>
    </row>
    <row r="36" spans="2:8" x14ac:dyDescent="0.25">
      <c r="G36">
        <v>30</v>
      </c>
      <c r="H36">
        <f t="shared" si="3"/>
        <v>594.45875537204586</v>
      </c>
    </row>
    <row r="37" spans="2:8" x14ac:dyDescent="0.25">
      <c r="G37">
        <v>32</v>
      </c>
      <c r="H37">
        <f t="shared" si="3"/>
        <v>701.91590269250037</v>
      </c>
    </row>
    <row r="38" spans="2:8" x14ac:dyDescent="0.25">
      <c r="G38">
        <v>34</v>
      </c>
      <c r="H38">
        <f t="shared" si="3"/>
        <v>820.48781048036733</v>
      </c>
    </row>
    <row r="39" spans="2:8" x14ac:dyDescent="0.25">
      <c r="G39">
        <v>36</v>
      </c>
      <c r="H39">
        <f t="shared" si="3"/>
        <v>950.56860275584495</v>
      </c>
    </row>
    <row r="40" spans="2:8" x14ac:dyDescent="0.25">
      <c r="G40">
        <v>38</v>
      </c>
      <c r="H40">
        <f t="shared" si="3"/>
        <v>1092.5426493351829</v>
      </c>
    </row>
  </sheetData>
  <mergeCells count="6">
    <mergeCell ref="B19:C19"/>
    <mergeCell ref="D19:E19"/>
    <mergeCell ref="G19:H19"/>
    <mergeCell ref="L2:T16"/>
    <mergeCell ref="B2:J11"/>
    <mergeCell ref="B14:D1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X48"/>
  <sheetViews>
    <sheetView workbookViewId="0">
      <selection activeCell="L2" sqref="L2:T17"/>
    </sheetView>
  </sheetViews>
  <sheetFormatPr defaultRowHeight="15" x14ac:dyDescent="0.25"/>
  <cols>
    <col min="4" max="4" width="9.5703125" bestFit="1" customWidth="1"/>
    <col min="5" max="5" width="12.28515625" bestFit="1" customWidth="1"/>
    <col min="8" max="8" width="9.5703125" bestFit="1" customWidth="1"/>
    <col min="17" max="17" width="10.7109375" customWidth="1"/>
    <col min="18" max="18" width="10.85546875" customWidth="1"/>
  </cols>
  <sheetData>
    <row r="1" spans="2:24" ht="15.75" thickBot="1" x14ac:dyDescent="0.3">
      <c r="V1" s="105"/>
    </row>
    <row r="2" spans="2:24" ht="15" customHeight="1" x14ac:dyDescent="0.25">
      <c r="B2" s="219" t="s">
        <v>97</v>
      </c>
      <c r="C2" s="215"/>
      <c r="D2" s="215"/>
      <c r="E2" s="215"/>
      <c r="F2" s="215"/>
      <c r="G2" s="215"/>
      <c r="H2" s="215"/>
      <c r="I2" s="215"/>
      <c r="J2" s="220"/>
      <c r="L2" s="199" t="s">
        <v>95</v>
      </c>
      <c r="M2" s="200"/>
      <c r="N2" s="200"/>
      <c r="O2" s="200"/>
      <c r="P2" s="200"/>
      <c r="Q2" s="200"/>
      <c r="R2" s="200"/>
      <c r="S2" s="200"/>
      <c r="T2" s="201"/>
      <c r="V2" s="226" t="s">
        <v>92</v>
      </c>
      <c r="W2" s="227"/>
      <c r="X2" s="228"/>
    </row>
    <row r="3" spans="2:24" x14ac:dyDescent="0.25">
      <c r="B3" s="221"/>
      <c r="C3" s="216"/>
      <c r="D3" s="216"/>
      <c r="E3" s="216"/>
      <c r="F3" s="216"/>
      <c r="G3" s="216"/>
      <c r="H3" s="216"/>
      <c r="I3" s="216"/>
      <c r="J3" s="222"/>
      <c r="L3" s="202"/>
      <c r="M3" s="203"/>
      <c r="N3" s="203"/>
      <c r="O3" s="203"/>
      <c r="P3" s="203"/>
      <c r="Q3" s="203"/>
      <c r="R3" s="203"/>
      <c r="S3" s="203"/>
      <c r="T3" s="204"/>
      <c r="V3" s="229"/>
      <c r="W3" s="230"/>
      <c r="X3" s="231"/>
    </row>
    <row r="4" spans="2:24" x14ac:dyDescent="0.25">
      <c r="B4" s="221"/>
      <c r="C4" s="216"/>
      <c r="D4" s="216"/>
      <c r="E4" s="216"/>
      <c r="F4" s="216"/>
      <c r="G4" s="216"/>
      <c r="H4" s="216"/>
      <c r="I4" s="216"/>
      <c r="J4" s="222"/>
      <c r="L4" s="202"/>
      <c r="M4" s="203"/>
      <c r="N4" s="203"/>
      <c r="O4" s="203"/>
      <c r="P4" s="203"/>
      <c r="Q4" s="203"/>
      <c r="R4" s="203"/>
      <c r="S4" s="203"/>
      <c r="T4" s="204"/>
      <c r="V4" s="229"/>
      <c r="W4" s="230"/>
      <c r="X4" s="231"/>
    </row>
    <row r="5" spans="2:24" x14ac:dyDescent="0.25">
      <c r="B5" s="221"/>
      <c r="C5" s="216"/>
      <c r="D5" s="216"/>
      <c r="E5" s="216"/>
      <c r="F5" s="216"/>
      <c r="G5" s="216"/>
      <c r="H5" s="216"/>
      <c r="I5" s="216"/>
      <c r="J5" s="222"/>
      <c r="L5" s="202"/>
      <c r="M5" s="203"/>
      <c r="N5" s="203"/>
      <c r="O5" s="203"/>
      <c r="P5" s="203"/>
      <c r="Q5" s="203"/>
      <c r="R5" s="203"/>
      <c r="S5" s="203"/>
      <c r="T5" s="204"/>
      <c r="V5" s="229"/>
      <c r="W5" s="230"/>
      <c r="X5" s="231"/>
    </row>
    <row r="6" spans="2:24" x14ac:dyDescent="0.25">
      <c r="B6" s="221"/>
      <c r="C6" s="216"/>
      <c r="D6" s="216"/>
      <c r="E6" s="216"/>
      <c r="F6" s="216"/>
      <c r="G6" s="216"/>
      <c r="H6" s="216"/>
      <c r="I6" s="216"/>
      <c r="J6" s="222"/>
      <c r="L6" s="202"/>
      <c r="M6" s="203"/>
      <c r="N6" s="203"/>
      <c r="O6" s="203"/>
      <c r="P6" s="203"/>
      <c r="Q6" s="203"/>
      <c r="R6" s="203"/>
      <c r="S6" s="203"/>
      <c r="T6" s="204"/>
      <c r="V6" s="229"/>
      <c r="W6" s="230"/>
      <c r="X6" s="231"/>
    </row>
    <row r="7" spans="2:24" x14ac:dyDescent="0.25">
      <c r="B7" s="221"/>
      <c r="C7" s="216"/>
      <c r="D7" s="216"/>
      <c r="E7" s="216"/>
      <c r="F7" s="216"/>
      <c r="G7" s="216"/>
      <c r="H7" s="216"/>
      <c r="I7" s="216"/>
      <c r="J7" s="222"/>
      <c r="L7" s="202"/>
      <c r="M7" s="203"/>
      <c r="N7" s="203"/>
      <c r="O7" s="203"/>
      <c r="P7" s="203"/>
      <c r="Q7" s="203"/>
      <c r="R7" s="203"/>
      <c r="S7" s="203"/>
      <c r="T7" s="204"/>
      <c r="V7" s="229"/>
      <c r="W7" s="230"/>
      <c r="X7" s="231"/>
    </row>
    <row r="8" spans="2:24" x14ac:dyDescent="0.25">
      <c r="B8" s="221"/>
      <c r="C8" s="216"/>
      <c r="D8" s="216"/>
      <c r="E8" s="216"/>
      <c r="F8" s="216"/>
      <c r="G8" s="216"/>
      <c r="H8" s="216"/>
      <c r="I8" s="216"/>
      <c r="J8" s="222"/>
      <c r="L8" s="202"/>
      <c r="M8" s="203"/>
      <c r="N8" s="203"/>
      <c r="O8" s="203"/>
      <c r="P8" s="203"/>
      <c r="Q8" s="203"/>
      <c r="R8" s="203"/>
      <c r="S8" s="203"/>
      <c r="T8" s="204"/>
      <c r="V8" s="229"/>
      <c r="W8" s="230"/>
      <c r="X8" s="231"/>
    </row>
    <row r="9" spans="2:24" x14ac:dyDescent="0.25">
      <c r="B9" s="221"/>
      <c r="C9" s="216"/>
      <c r="D9" s="216"/>
      <c r="E9" s="216"/>
      <c r="F9" s="216"/>
      <c r="G9" s="216"/>
      <c r="H9" s="216"/>
      <c r="I9" s="216"/>
      <c r="J9" s="222"/>
      <c r="L9" s="202"/>
      <c r="M9" s="203"/>
      <c r="N9" s="203"/>
      <c r="O9" s="203"/>
      <c r="P9" s="203"/>
      <c r="Q9" s="203"/>
      <c r="R9" s="203"/>
      <c r="S9" s="203"/>
      <c r="T9" s="204"/>
      <c r="V9" s="229"/>
      <c r="W9" s="230"/>
      <c r="X9" s="231"/>
    </row>
    <row r="10" spans="2:24" x14ac:dyDescent="0.25">
      <c r="B10" s="221"/>
      <c r="C10" s="216"/>
      <c r="D10" s="216"/>
      <c r="E10" s="216"/>
      <c r="F10" s="216"/>
      <c r="G10" s="216"/>
      <c r="H10" s="216"/>
      <c r="I10" s="216"/>
      <c r="J10" s="222"/>
      <c r="L10" s="202"/>
      <c r="M10" s="203"/>
      <c r="N10" s="203"/>
      <c r="O10" s="203"/>
      <c r="P10" s="203"/>
      <c r="Q10" s="203"/>
      <c r="R10" s="203"/>
      <c r="S10" s="203"/>
      <c r="T10" s="204"/>
      <c r="V10" s="229"/>
      <c r="W10" s="230"/>
      <c r="X10" s="231"/>
    </row>
    <row r="11" spans="2:24" x14ac:dyDescent="0.25">
      <c r="B11" s="221"/>
      <c r="C11" s="216"/>
      <c r="D11" s="216"/>
      <c r="E11" s="216"/>
      <c r="F11" s="216"/>
      <c r="G11" s="216"/>
      <c r="H11" s="216"/>
      <c r="I11" s="216"/>
      <c r="J11" s="222"/>
      <c r="L11" s="202"/>
      <c r="M11" s="203"/>
      <c r="N11" s="203"/>
      <c r="O11" s="203"/>
      <c r="P11" s="203"/>
      <c r="Q11" s="203"/>
      <c r="R11" s="203"/>
      <c r="S11" s="203"/>
      <c r="T11" s="204"/>
      <c r="V11" s="229"/>
      <c r="W11" s="230"/>
      <c r="X11" s="231"/>
    </row>
    <row r="12" spans="2:24" x14ac:dyDescent="0.25">
      <c r="B12" s="221"/>
      <c r="C12" s="216"/>
      <c r="D12" s="216"/>
      <c r="E12" s="216"/>
      <c r="F12" s="216"/>
      <c r="G12" s="216"/>
      <c r="H12" s="216"/>
      <c r="I12" s="216"/>
      <c r="J12" s="222"/>
      <c r="L12" s="202"/>
      <c r="M12" s="203"/>
      <c r="N12" s="203"/>
      <c r="O12" s="203"/>
      <c r="P12" s="203"/>
      <c r="Q12" s="203"/>
      <c r="R12" s="203"/>
      <c r="S12" s="203"/>
      <c r="T12" s="204"/>
      <c r="V12" s="229"/>
      <c r="W12" s="230"/>
      <c r="X12" s="231"/>
    </row>
    <row r="13" spans="2:24" ht="15.75" thickBot="1" x14ac:dyDescent="0.3">
      <c r="B13" s="223"/>
      <c r="C13" s="224"/>
      <c r="D13" s="224"/>
      <c r="E13" s="224"/>
      <c r="F13" s="224"/>
      <c r="G13" s="224"/>
      <c r="H13" s="224"/>
      <c r="I13" s="224"/>
      <c r="J13" s="225"/>
      <c r="L13" s="202"/>
      <c r="M13" s="203"/>
      <c r="N13" s="203"/>
      <c r="O13" s="203"/>
      <c r="P13" s="203"/>
      <c r="Q13" s="203"/>
      <c r="R13" s="203"/>
      <c r="S13" s="203"/>
      <c r="T13" s="204"/>
      <c r="V13" s="229"/>
      <c r="W13" s="230"/>
      <c r="X13" s="231"/>
    </row>
    <row r="14" spans="2:24" ht="15.75" thickBot="1" x14ac:dyDescent="0.3">
      <c r="L14" s="202"/>
      <c r="M14" s="203"/>
      <c r="N14" s="203"/>
      <c r="O14" s="203"/>
      <c r="P14" s="203"/>
      <c r="Q14" s="203"/>
      <c r="R14" s="203"/>
      <c r="S14" s="203"/>
      <c r="T14" s="204"/>
      <c r="V14" s="229"/>
      <c r="W14" s="230"/>
      <c r="X14" s="231"/>
    </row>
    <row r="15" spans="2:24" ht="15.75" thickTop="1" x14ac:dyDescent="0.25">
      <c r="B15" s="212" t="s">
        <v>74</v>
      </c>
      <c r="C15" s="213"/>
      <c r="D15" s="214"/>
      <c r="G15" s="91" t="s">
        <v>84</v>
      </c>
      <c r="L15" s="202"/>
      <c r="M15" s="203"/>
      <c r="N15" s="203"/>
      <c r="O15" s="203"/>
      <c r="P15" s="203"/>
      <c r="Q15" s="203"/>
      <c r="R15" s="203"/>
      <c r="S15" s="203"/>
      <c r="T15" s="204"/>
      <c r="V15" s="229"/>
      <c r="W15" s="230"/>
      <c r="X15" s="231"/>
    </row>
    <row r="16" spans="2:24" ht="15.75" thickBot="1" x14ac:dyDescent="0.3">
      <c r="B16" s="80" t="s">
        <v>2</v>
      </c>
      <c r="C16" s="79" t="s">
        <v>3</v>
      </c>
      <c r="D16" s="81" t="s">
        <v>4</v>
      </c>
      <c r="G16" s="92">
        <f>SUM(E22:E32)</f>
        <v>2.4331049015524383E-3</v>
      </c>
      <c r="L16" s="202"/>
      <c r="M16" s="203"/>
      <c r="N16" s="203"/>
      <c r="O16" s="203"/>
      <c r="P16" s="203"/>
      <c r="Q16" s="203"/>
      <c r="R16" s="203"/>
      <c r="S16" s="203"/>
      <c r="T16" s="204"/>
      <c r="V16" s="229"/>
      <c r="W16" s="230"/>
      <c r="X16" s="231"/>
    </row>
    <row r="17" spans="2:24" ht="16.5" thickBot="1" x14ac:dyDescent="0.35">
      <c r="B17" s="82" t="s">
        <v>91</v>
      </c>
      <c r="C17" s="13">
        <v>15.26</v>
      </c>
      <c r="D17" s="85">
        <v>15.522026095902197</v>
      </c>
      <c r="L17" s="205"/>
      <c r="M17" s="206"/>
      <c r="N17" s="206"/>
      <c r="O17" s="206"/>
      <c r="P17" s="206"/>
      <c r="Q17" s="206"/>
      <c r="R17" s="206"/>
      <c r="S17" s="206"/>
      <c r="T17" s="207"/>
      <c r="V17" s="229"/>
      <c r="W17" s="230"/>
      <c r="X17" s="231"/>
    </row>
    <row r="18" spans="2:24" ht="15.75" thickBot="1" x14ac:dyDescent="0.3">
      <c r="B18" s="83" t="s">
        <v>14</v>
      </c>
      <c r="C18" s="84">
        <v>1.18</v>
      </c>
      <c r="D18" s="86">
        <v>0.85369368345976948</v>
      </c>
      <c r="V18" s="232"/>
      <c r="W18" s="233"/>
      <c r="X18" s="234"/>
    </row>
    <row r="19" spans="2:24" ht="15.75" thickTop="1" x14ac:dyDescent="0.25"/>
    <row r="20" spans="2:24" x14ac:dyDescent="0.25">
      <c r="B20" s="217" t="s">
        <v>76</v>
      </c>
      <c r="C20" s="218"/>
      <c r="D20" s="210" t="s">
        <v>77</v>
      </c>
      <c r="E20" s="210"/>
      <c r="G20" s="208" t="s">
        <v>75</v>
      </c>
      <c r="H20" s="208"/>
    </row>
    <row r="21" spans="2:24" ht="18" x14ac:dyDescent="0.35">
      <c r="B21" s="100" t="s">
        <v>19</v>
      </c>
      <c r="C21" s="87" t="s">
        <v>88</v>
      </c>
      <c r="D21" s="95" t="s">
        <v>89</v>
      </c>
      <c r="E21" s="96" t="s">
        <v>10</v>
      </c>
      <c r="G21" s="99" t="s">
        <v>19</v>
      </c>
      <c r="H21" s="99" t="s">
        <v>90</v>
      </c>
    </row>
    <row r="22" spans="2:24" x14ac:dyDescent="0.25">
      <c r="B22">
        <v>10</v>
      </c>
      <c r="C22" s="1">
        <v>0</v>
      </c>
      <c r="D22" s="89">
        <f>(1+EXP(-($D$18*(B22-$D$17))))^-1</f>
        <v>8.8880589746166434E-3</v>
      </c>
      <c r="E22" s="106">
        <f>(D22-C22)^2</f>
        <v>7.8997592336263456E-5</v>
      </c>
      <c r="G22">
        <v>5</v>
      </c>
      <c r="H22" s="89">
        <f>(1+EXP(-($D$18*(G22-$D$17))))^-1</f>
        <v>1.2556176300955449E-4</v>
      </c>
    </row>
    <row r="23" spans="2:24" x14ac:dyDescent="0.25">
      <c r="B23">
        <v>11</v>
      </c>
      <c r="C23" s="1">
        <v>0.05</v>
      </c>
      <c r="D23" s="89">
        <f t="shared" ref="D23:D32" si="0">(1+EXP(-($D$18*(B23-$D$17))))^-1</f>
        <v>2.0624708448482805E-2</v>
      </c>
      <c r="E23" s="106">
        <f t="shared" ref="E23:E32" si="1">(D23-C23)^2</f>
        <v>8.6290775373663766E-4</v>
      </c>
      <c r="G23">
        <v>6</v>
      </c>
      <c r="H23" s="89">
        <f t="shared" ref="H23:H48" si="2">(1+EXP(-($D$18*(G23-$D$17))))^-1</f>
        <v>2.9480737451410301E-4</v>
      </c>
    </row>
    <row r="24" spans="2:24" x14ac:dyDescent="0.25">
      <c r="B24">
        <v>12</v>
      </c>
      <c r="C24" s="1">
        <v>0.08</v>
      </c>
      <c r="D24" s="89">
        <f t="shared" si="0"/>
        <v>4.7122694377809048E-2</v>
      </c>
      <c r="E24" s="106">
        <f t="shared" si="1"/>
        <v>1.0809172249749489E-3</v>
      </c>
      <c r="G24">
        <v>7</v>
      </c>
      <c r="H24" s="89">
        <f t="shared" si="2"/>
        <v>6.9202248479655211E-4</v>
      </c>
    </row>
    <row r="25" spans="2:24" x14ac:dyDescent="0.25">
      <c r="B25">
        <v>13</v>
      </c>
      <c r="C25" s="1">
        <v>0.1</v>
      </c>
      <c r="D25" s="89">
        <f t="shared" si="0"/>
        <v>0.10404769809084223</v>
      </c>
      <c r="E25" s="106">
        <f t="shared" si="1"/>
        <v>1.6383859834607792E-5</v>
      </c>
      <c r="G25">
        <v>8</v>
      </c>
      <c r="H25" s="89">
        <f t="shared" si="2"/>
        <v>1.6235648070518124E-3</v>
      </c>
    </row>
    <row r="26" spans="2:24" x14ac:dyDescent="0.25">
      <c r="B26">
        <v>14</v>
      </c>
      <c r="C26" s="1">
        <v>0.2</v>
      </c>
      <c r="D26" s="89">
        <f t="shared" si="0"/>
        <v>0.21427543058723134</v>
      </c>
      <c r="E26" s="106">
        <f t="shared" si="1"/>
        <v>2.037879184508597E-4</v>
      </c>
      <c r="G26">
        <v>9</v>
      </c>
      <c r="H26" s="89">
        <f t="shared" si="2"/>
        <v>3.8042971078672536E-3</v>
      </c>
    </row>
    <row r="27" spans="2:24" x14ac:dyDescent="0.25">
      <c r="B27">
        <v>15</v>
      </c>
      <c r="C27" s="1">
        <v>0.39</v>
      </c>
      <c r="D27" s="89">
        <f t="shared" si="0"/>
        <v>0.3903954233037234</v>
      </c>
      <c r="E27" s="106">
        <f t="shared" si="1"/>
        <v>1.5635958912751689E-7</v>
      </c>
      <c r="G27">
        <v>10</v>
      </c>
      <c r="H27" s="89">
        <f t="shared" si="2"/>
        <v>8.8880589746166434E-3</v>
      </c>
    </row>
    <row r="28" spans="2:24" x14ac:dyDescent="0.25">
      <c r="B28">
        <v>16</v>
      </c>
      <c r="C28" s="1">
        <v>0.6</v>
      </c>
      <c r="D28" s="89">
        <f t="shared" si="0"/>
        <v>0.60061860689133584</v>
      </c>
      <c r="E28" s="106">
        <f t="shared" si="1"/>
        <v>3.8267448600821648E-7</v>
      </c>
      <c r="G28">
        <v>11</v>
      </c>
      <c r="H28" s="89">
        <f t="shared" si="2"/>
        <v>2.0624708448482805E-2</v>
      </c>
    </row>
    <row r="29" spans="2:24" x14ac:dyDescent="0.25">
      <c r="B29">
        <v>17</v>
      </c>
      <c r="C29" s="1">
        <v>0.78</v>
      </c>
      <c r="D29" s="89">
        <f t="shared" si="0"/>
        <v>0.77932497536355305</v>
      </c>
      <c r="E29" s="106">
        <f t="shared" si="1"/>
        <v>4.5565825981037043E-7</v>
      </c>
      <c r="G29">
        <v>12</v>
      </c>
      <c r="H29" s="89">
        <f t="shared" si="2"/>
        <v>4.7122694377809048E-2</v>
      </c>
    </row>
    <row r="30" spans="2:24" x14ac:dyDescent="0.25">
      <c r="B30">
        <v>18</v>
      </c>
      <c r="C30" s="1">
        <v>0.9</v>
      </c>
      <c r="D30" s="89">
        <f t="shared" si="0"/>
        <v>0.89239393651348398</v>
      </c>
      <c r="E30" s="106">
        <f t="shared" si="1"/>
        <v>5.7852201760912625E-5</v>
      </c>
      <c r="G30">
        <v>13</v>
      </c>
      <c r="H30" s="89">
        <f t="shared" si="2"/>
        <v>0.10404769809084223</v>
      </c>
    </row>
    <row r="31" spans="2:24" x14ac:dyDescent="0.25">
      <c r="B31">
        <v>19</v>
      </c>
      <c r="C31" s="1">
        <v>0.95</v>
      </c>
      <c r="D31" s="89">
        <f t="shared" si="0"/>
        <v>0.95115961489230916</v>
      </c>
      <c r="E31" s="106">
        <f t="shared" si="1"/>
        <v>1.3447066984652821E-6</v>
      </c>
      <c r="G31">
        <v>14</v>
      </c>
      <c r="H31" s="89">
        <f t="shared" si="2"/>
        <v>0.21427543058723134</v>
      </c>
    </row>
    <row r="32" spans="2:24" x14ac:dyDescent="0.25">
      <c r="B32">
        <v>20</v>
      </c>
      <c r="C32" s="1">
        <v>0.99</v>
      </c>
      <c r="D32" s="89">
        <f t="shared" si="0"/>
        <v>0.97860180051829249</v>
      </c>
      <c r="E32" s="106">
        <f t="shared" si="1"/>
        <v>1.2991895142479723E-4</v>
      </c>
      <c r="G32">
        <v>15</v>
      </c>
      <c r="H32" s="89">
        <f t="shared" si="2"/>
        <v>0.3903954233037234</v>
      </c>
    </row>
    <row r="33" spans="2:10" x14ac:dyDescent="0.25">
      <c r="G33">
        <v>16</v>
      </c>
      <c r="H33" s="89">
        <f t="shared" si="2"/>
        <v>0.60061860689133584</v>
      </c>
    </row>
    <row r="34" spans="2:10" x14ac:dyDescent="0.25">
      <c r="B34" s="18"/>
      <c r="C34" s="18"/>
      <c r="D34" s="18"/>
      <c r="G34">
        <v>17</v>
      </c>
      <c r="H34" s="89">
        <f t="shared" si="2"/>
        <v>0.77932497536355305</v>
      </c>
    </row>
    <row r="35" spans="2:10" x14ac:dyDescent="0.25">
      <c r="B35" s="18"/>
      <c r="C35" s="103"/>
      <c r="D35" s="103"/>
      <c r="G35">
        <v>18</v>
      </c>
      <c r="H35" s="89">
        <f t="shared" si="2"/>
        <v>0.89239393651348398</v>
      </c>
    </row>
    <row r="36" spans="2:10" x14ac:dyDescent="0.25">
      <c r="B36" s="104"/>
      <c r="C36" s="103"/>
      <c r="D36" s="103"/>
      <c r="G36">
        <v>19</v>
      </c>
      <c r="H36" s="89">
        <f t="shared" si="2"/>
        <v>0.95115961489230916</v>
      </c>
    </row>
    <row r="37" spans="2:10" x14ac:dyDescent="0.25">
      <c r="B37" s="18"/>
      <c r="C37" s="18"/>
      <c r="D37" s="18"/>
      <c r="G37">
        <v>20</v>
      </c>
      <c r="H37" s="89">
        <f t="shared" si="2"/>
        <v>0.97860180051829249</v>
      </c>
      <c r="J37" s="101"/>
    </row>
    <row r="38" spans="2:10" x14ac:dyDescent="0.25">
      <c r="G38">
        <v>21</v>
      </c>
      <c r="H38" s="89">
        <f t="shared" si="2"/>
        <v>0.99077446479645115</v>
      </c>
      <c r="J38" s="102"/>
    </row>
    <row r="39" spans="2:10" x14ac:dyDescent="0.25">
      <c r="G39">
        <v>22</v>
      </c>
      <c r="H39" s="89">
        <f t="shared" si="2"/>
        <v>0.99605048596797419</v>
      </c>
      <c r="J39" s="4"/>
    </row>
    <row r="40" spans="2:10" x14ac:dyDescent="0.25">
      <c r="G40">
        <v>23</v>
      </c>
      <c r="H40" s="89">
        <f t="shared" si="2"/>
        <v>0.99831431992192754</v>
      </c>
      <c r="J40" s="4"/>
    </row>
    <row r="41" spans="2:10" x14ac:dyDescent="0.25">
      <c r="G41">
        <v>24</v>
      </c>
      <c r="H41" s="89">
        <f t="shared" si="2"/>
        <v>0.99928147607370121</v>
      </c>
      <c r="J41" s="101"/>
    </row>
    <row r="42" spans="2:10" x14ac:dyDescent="0.25">
      <c r="G42">
        <v>25</v>
      </c>
      <c r="H42" s="89">
        <f t="shared" si="2"/>
        <v>0.99969389812991938</v>
      </c>
    </row>
    <row r="43" spans="2:10" x14ac:dyDescent="0.25">
      <c r="G43">
        <v>26</v>
      </c>
      <c r="H43" s="89">
        <f t="shared" si="2"/>
        <v>0.99986962693922266</v>
      </c>
    </row>
    <row r="44" spans="2:10" x14ac:dyDescent="0.25">
      <c r="G44">
        <v>27</v>
      </c>
      <c r="H44" s="89">
        <f t="shared" si="2"/>
        <v>0.99994447789590335</v>
      </c>
    </row>
    <row r="45" spans="2:10" x14ac:dyDescent="0.25">
      <c r="G45">
        <v>28</v>
      </c>
      <c r="H45" s="89">
        <f t="shared" si="2"/>
        <v>0.99997635576293964</v>
      </c>
    </row>
    <row r="46" spans="2:10" x14ac:dyDescent="0.25">
      <c r="G46">
        <v>29</v>
      </c>
      <c r="H46" s="89">
        <f t="shared" si="2"/>
        <v>0.99998993122247781</v>
      </c>
    </row>
    <row r="47" spans="2:10" x14ac:dyDescent="0.25">
      <c r="G47">
        <v>29</v>
      </c>
      <c r="H47" s="89">
        <f t="shared" si="2"/>
        <v>0.99998993122247781</v>
      </c>
    </row>
    <row r="48" spans="2:10" x14ac:dyDescent="0.25">
      <c r="G48">
        <v>29</v>
      </c>
      <c r="H48" s="89">
        <f t="shared" si="2"/>
        <v>0.99998993122247781</v>
      </c>
    </row>
  </sheetData>
  <mergeCells count="7">
    <mergeCell ref="V2:X18"/>
    <mergeCell ref="B2:J13"/>
    <mergeCell ref="L2:T17"/>
    <mergeCell ref="B15:D15"/>
    <mergeCell ref="B20:C20"/>
    <mergeCell ref="D20:E20"/>
    <mergeCell ref="G20:H20"/>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X61"/>
  <sheetViews>
    <sheetView workbookViewId="0">
      <selection activeCell="L2" sqref="L2:T16"/>
    </sheetView>
  </sheetViews>
  <sheetFormatPr defaultRowHeight="15" x14ac:dyDescent="0.25"/>
  <cols>
    <col min="1" max="1" width="2.5703125" customWidth="1"/>
    <col min="5" max="5" width="12" bestFit="1" customWidth="1"/>
    <col min="18" max="19" width="10.42578125" customWidth="1"/>
  </cols>
  <sheetData>
    <row r="1" spans="2:24" ht="15.75" thickBot="1" x14ac:dyDescent="0.3">
      <c r="V1" s="105"/>
    </row>
    <row r="2" spans="2:24" x14ac:dyDescent="0.25">
      <c r="B2" s="219" t="s">
        <v>93</v>
      </c>
      <c r="C2" s="215"/>
      <c r="D2" s="215"/>
      <c r="E2" s="215"/>
      <c r="F2" s="215"/>
      <c r="G2" s="215"/>
      <c r="H2" s="215"/>
      <c r="I2" s="215"/>
      <c r="J2" s="220"/>
      <c r="L2" s="199" t="s">
        <v>96</v>
      </c>
      <c r="M2" s="200"/>
      <c r="N2" s="200"/>
      <c r="O2" s="200"/>
      <c r="P2" s="200"/>
      <c r="Q2" s="200"/>
      <c r="R2" s="200"/>
      <c r="S2" s="200"/>
      <c r="T2" s="201"/>
      <c r="V2" s="226" t="s">
        <v>92</v>
      </c>
      <c r="W2" s="227"/>
      <c r="X2" s="228"/>
    </row>
    <row r="3" spans="2:24" x14ac:dyDescent="0.25">
      <c r="B3" s="221"/>
      <c r="C3" s="216"/>
      <c r="D3" s="216"/>
      <c r="E3" s="216"/>
      <c r="F3" s="216"/>
      <c r="G3" s="216"/>
      <c r="H3" s="216"/>
      <c r="I3" s="216"/>
      <c r="J3" s="222"/>
      <c r="L3" s="202"/>
      <c r="M3" s="203"/>
      <c r="N3" s="203"/>
      <c r="O3" s="203"/>
      <c r="P3" s="203"/>
      <c r="Q3" s="203"/>
      <c r="R3" s="203"/>
      <c r="S3" s="203"/>
      <c r="T3" s="204"/>
      <c r="V3" s="229"/>
      <c r="W3" s="230"/>
      <c r="X3" s="231"/>
    </row>
    <row r="4" spans="2:24" x14ac:dyDescent="0.25">
      <c r="B4" s="221"/>
      <c r="C4" s="216"/>
      <c r="D4" s="216"/>
      <c r="E4" s="216"/>
      <c r="F4" s="216"/>
      <c r="G4" s="216"/>
      <c r="H4" s="216"/>
      <c r="I4" s="216"/>
      <c r="J4" s="222"/>
      <c r="L4" s="202"/>
      <c r="M4" s="203"/>
      <c r="N4" s="203"/>
      <c r="O4" s="203"/>
      <c r="P4" s="203"/>
      <c r="Q4" s="203"/>
      <c r="R4" s="203"/>
      <c r="S4" s="203"/>
      <c r="T4" s="204"/>
      <c r="V4" s="229"/>
      <c r="W4" s="230"/>
      <c r="X4" s="231"/>
    </row>
    <row r="5" spans="2:24" x14ac:dyDescent="0.25">
      <c r="B5" s="221"/>
      <c r="C5" s="216"/>
      <c r="D5" s="216"/>
      <c r="E5" s="216"/>
      <c r="F5" s="216"/>
      <c r="G5" s="216"/>
      <c r="H5" s="216"/>
      <c r="I5" s="216"/>
      <c r="J5" s="222"/>
      <c r="L5" s="202"/>
      <c r="M5" s="203"/>
      <c r="N5" s="203"/>
      <c r="O5" s="203"/>
      <c r="P5" s="203"/>
      <c r="Q5" s="203"/>
      <c r="R5" s="203"/>
      <c r="S5" s="203"/>
      <c r="T5" s="204"/>
      <c r="V5" s="229"/>
      <c r="W5" s="230"/>
      <c r="X5" s="231"/>
    </row>
    <row r="6" spans="2:24" x14ac:dyDescent="0.25">
      <c r="B6" s="221"/>
      <c r="C6" s="216"/>
      <c r="D6" s="216"/>
      <c r="E6" s="216"/>
      <c r="F6" s="216"/>
      <c r="G6" s="216"/>
      <c r="H6" s="216"/>
      <c r="I6" s="216"/>
      <c r="J6" s="222"/>
      <c r="L6" s="202"/>
      <c r="M6" s="203"/>
      <c r="N6" s="203"/>
      <c r="O6" s="203"/>
      <c r="P6" s="203"/>
      <c r="Q6" s="203"/>
      <c r="R6" s="203"/>
      <c r="S6" s="203"/>
      <c r="T6" s="204"/>
      <c r="V6" s="229"/>
      <c r="W6" s="230"/>
      <c r="X6" s="231"/>
    </row>
    <row r="7" spans="2:24" x14ac:dyDescent="0.25">
      <c r="B7" s="221"/>
      <c r="C7" s="216"/>
      <c r="D7" s="216"/>
      <c r="E7" s="216"/>
      <c r="F7" s="216"/>
      <c r="G7" s="216"/>
      <c r="H7" s="216"/>
      <c r="I7" s="216"/>
      <c r="J7" s="222"/>
      <c r="L7" s="202"/>
      <c r="M7" s="203"/>
      <c r="N7" s="203"/>
      <c r="O7" s="203"/>
      <c r="P7" s="203"/>
      <c r="Q7" s="203"/>
      <c r="R7" s="203"/>
      <c r="S7" s="203"/>
      <c r="T7" s="204"/>
      <c r="V7" s="229"/>
      <c r="W7" s="230"/>
      <c r="X7" s="231"/>
    </row>
    <row r="8" spans="2:24" x14ac:dyDescent="0.25">
      <c r="B8" s="221"/>
      <c r="C8" s="216"/>
      <c r="D8" s="216"/>
      <c r="E8" s="216"/>
      <c r="F8" s="216"/>
      <c r="G8" s="216"/>
      <c r="H8" s="216"/>
      <c r="I8" s="216"/>
      <c r="J8" s="222"/>
      <c r="L8" s="202"/>
      <c r="M8" s="203"/>
      <c r="N8" s="203"/>
      <c r="O8" s="203"/>
      <c r="P8" s="203"/>
      <c r="Q8" s="203"/>
      <c r="R8" s="203"/>
      <c r="S8" s="203"/>
      <c r="T8" s="204"/>
      <c r="V8" s="229"/>
      <c r="W8" s="230"/>
      <c r="X8" s="231"/>
    </row>
    <row r="9" spans="2:24" x14ac:dyDescent="0.25">
      <c r="B9" s="221"/>
      <c r="C9" s="216"/>
      <c r="D9" s="216"/>
      <c r="E9" s="216"/>
      <c r="F9" s="216"/>
      <c r="G9" s="216"/>
      <c r="H9" s="216"/>
      <c r="I9" s="216"/>
      <c r="J9" s="222"/>
      <c r="L9" s="202"/>
      <c r="M9" s="203"/>
      <c r="N9" s="203"/>
      <c r="O9" s="203"/>
      <c r="P9" s="203"/>
      <c r="Q9" s="203"/>
      <c r="R9" s="203"/>
      <c r="S9" s="203"/>
      <c r="T9" s="204"/>
      <c r="V9" s="229"/>
      <c r="W9" s="230"/>
      <c r="X9" s="231"/>
    </row>
    <row r="10" spans="2:24" x14ac:dyDescent="0.25">
      <c r="B10" s="221"/>
      <c r="C10" s="216"/>
      <c r="D10" s="216"/>
      <c r="E10" s="216"/>
      <c r="F10" s="216"/>
      <c r="G10" s="216"/>
      <c r="H10" s="216"/>
      <c r="I10" s="216"/>
      <c r="J10" s="222"/>
      <c r="L10" s="202"/>
      <c r="M10" s="203"/>
      <c r="N10" s="203"/>
      <c r="O10" s="203"/>
      <c r="P10" s="203"/>
      <c r="Q10" s="203"/>
      <c r="R10" s="203"/>
      <c r="S10" s="203"/>
      <c r="T10" s="204"/>
      <c r="V10" s="229"/>
      <c r="W10" s="230"/>
      <c r="X10" s="231"/>
    </row>
    <row r="11" spans="2:24" ht="15.75" thickBot="1" x14ac:dyDescent="0.3">
      <c r="B11" s="223"/>
      <c r="C11" s="224"/>
      <c r="D11" s="224"/>
      <c r="E11" s="224"/>
      <c r="F11" s="224"/>
      <c r="G11" s="224"/>
      <c r="H11" s="224"/>
      <c r="I11" s="224"/>
      <c r="J11" s="225"/>
      <c r="L11" s="202"/>
      <c r="M11" s="203"/>
      <c r="N11" s="203"/>
      <c r="O11" s="203"/>
      <c r="P11" s="203"/>
      <c r="Q11" s="203"/>
      <c r="R11" s="203"/>
      <c r="S11" s="203"/>
      <c r="T11" s="204"/>
      <c r="V11" s="229"/>
      <c r="W11" s="230"/>
      <c r="X11" s="231"/>
    </row>
    <row r="12" spans="2:24" x14ac:dyDescent="0.25">
      <c r="L12" s="202"/>
      <c r="M12" s="203"/>
      <c r="N12" s="203"/>
      <c r="O12" s="203"/>
      <c r="P12" s="203"/>
      <c r="Q12" s="203"/>
      <c r="R12" s="203"/>
      <c r="S12" s="203"/>
      <c r="T12" s="204"/>
      <c r="V12" s="229"/>
      <c r="W12" s="230"/>
      <c r="X12" s="231"/>
    </row>
    <row r="13" spans="2:24" ht="15.75" thickBot="1" x14ac:dyDescent="0.3">
      <c r="L13" s="202"/>
      <c r="M13" s="203"/>
      <c r="N13" s="203"/>
      <c r="O13" s="203"/>
      <c r="P13" s="203"/>
      <c r="Q13" s="203"/>
      <c r="R13" s="203"/>
      <c r="S13" s="203"/>
      <c r="T13" s="204"/>
      <c r="V13" s="229"/>
      <c r="W13" s="230"/>
      <c r="X13" s="231"/>
    </row>
    <row r="14" spans="2:24" ht="15.75" thickTop="1" x14ac:dyDescent="0.25">
      <c r="B14" s="212" t="s">
        <v>74</v>
      </c>
      <c r="C14" s="213"/>
      <c r="D14" s="214"/>
      <c r="G14" s="91" t="s">
        <v>84</v>
      </c>
      <c r="L14" s="202"/>
      <c r="M14" s="203"/>
      <c r="N14" s="203"/>
      <c r="O14" s="203"/>
      <c r="P14" s="203"/>
      <c r="Q14" s="203"/>
      <c r="R14" s="203"/>
      <c r="S14" s="203"/>
      <c r="T14" s="204"/>
      <c r="V14" s="229"/>
      <c r="W14" s="230"/>
      <c r="X14" s="231"/>
    </row>
    <row r="15" spans="2:24" ht="15.75" thickBot="1" x14ac:dyDescent="0.3">
      <c r="B15" s="80" t="s">
        <v>2</v>
      </c>
      <c r="C15" s="79" t="s">
        <v>3</v>
      </c>
      <c r="D15" s="81" t="s">
        <v>4</v>
      </c>
      <c r="G15" s="92">
        <f>SUM(E21:E31)</f>
        <v>1.6763981943614814E-4</v>
      </c>
      <c r="L15" s="202"/>
      <c r="M15" s="203"/>
      <c r="N15" s="203"/>
      <c r="O15" s="203"/>
      <c r="P15" s="203"/>
      <c r="Q15" s="203"/>
      <c r="R15" s="203"/>
      <c r="S15" s="203"/>
      <c r="T15" s="204"/>
      <c r="V15" s="229"/>
      <c r="W15" s="230"/>
      <c r="X15" s="231"/>
    </row>
    <row r="16" spans="2:24" ht="16.5" thickBot="1" x14ac:dyDescent="0.35">
      <c r="B16" s="82" t="s">
        <v>94</v>
      </c>
      <c r="C16" s="13">
        <v>2</v>
      </c>
      <c r="D16" s="85">
        <v>2.6580711116582632</v>
      </c>
      <c r="L16" s="205"/>
      <c r="M16" s="206"/>
      <c r="N16" s="206"/>
      <c r="O16" s="206"/>
      <c r="P16" s="206"/>
      <c r="Q16" s="206"/>
      <c r="R16" s="206"/>
      <c r="S16" s="206"/>
      <c r="T16" s="207"/>
      <c r="V16" s="229"/>
      <c r="W16" s="230"/>
      <c r="X16" s="231"/>
    </row>
    <row r="17" spans="2:24" ht="15.75" thickBot="1" x14ac:dyDescent="0.3">
      <c r="B17" s="83" t="s">
        <v>14</v>
      </c>
      <c r="C17" s="84">
        <v>1.18</v>
      </c>
      <c r="D17" s="86">
        <v>3.6951959186947185</v>
      </c>
      <c r="V17" s="232"/>
      <c r="W17" s="233"/>
      <c r="X17" s="234"/>
    </row>
    <row r="18" spans="2:24" ht="15.75" thickTop="1" x14ac:dyDescent="0.25"/>
    <row r="19" spans="2:24" x14ac:dyDescent="0.25">
      <c r="B19" s="217" t="s">
        <v>76</v>
      </c>
      <c r="C19" s="218"/>
      <c r="D19" s="210" t="s">
        <v>77</v>
      </c>
      <c r="E19" s="210"/>
      <c r="G19" s="208" t="s">
        <v>75</v>
      </c>
      <c r="H19" s="208"/>
    </row>
    <row r="20" spans="2:24" ht="18" x14ac:dyDescent="0.35">
      <c r="B20" s="100" t="s">
        <v>0</v>
      </c>
      <c r="C20" s="87" t="s">
        <v>88</v>
      </c>
      <c r="D20" s="95" t="s">
        <v>89</v>
      </c>
      <c r="E20" s="96" t="s">
        <v>10</v>
      </c>
      <c r="G20" s="99" t="s">
        <v>0</v>
      </c>
      <c r="H20" s="99" t="s">
        <v>90</v>
      </c>
    </row>
    <row r="21" spans="2:24" x14ac:dyDescent="0.25">
      <c r="B21">
        <v>0</v>
      </c>
      <c r="C21" s="1">
        <v>0</v>
      </c>
      <c r="D21">
        <f>(1+EXP(-($D$17*(B21-$D$16))))^-1</f>
        <v>5.4236970915663094E-5</v>
      </c>
      <c r="E21">
        <f>(D21-C21)^2</f>
        <v>2.9416490141064844E-9</v>
      </c>
      <c r="G21">
        <v>0</v>
      </c>
      <c r="H21">
        <f>(1+EXP(-($D$17*(G21-$D$16))))^-1</f>
        <v>5.4236970915663094E-5</v>
      </c>
    </row>
    <row r="22" spans="2:24" x14ac:dyDescent="0.25">
      <c r="B22">
        <v>1</v>
      </c>
      <c r="C22" s="1">
        <v>0.01</v>
      </c>
      <c r="D22">
        <f t="shared" ref="D22:D31" si="0">(1+EXP(-($D$17*(B22-$D$16))))^-1</f>
        <v>2.1785874547465812E-3</v>
      </c>
      <c r="E22">
        <f t="shared" ref="E22:E31" si="1">(D22-C22)^2</f>
        <v>6.1174494203047566E-5</v>
      </c>
      <c r="G22">
        <v>0.25</v>
      </c>
      <c r="H22">
        <f t="shared" ref="H22:H61" si="2">(1+EXP(-($D$17*(G22-$D$16))))^-1</f>
        <v>1.366030673468571E-4</v>
      </c>
    </row>
    <row r="23" spans="2:24" x14ac:dyDescent="0.25">
      <c r="B23">
        <v>2</v>
      </c>
      <c r="C23" s="1">
        <v>0.08</v>
      </c>
      <c r="D23">
        <f t="shared" si="0"/>
        <v>8.0787009034770041E-2</v>
      </c>
      <c r="E23">
        <f t="shared" si="1"/>
        <v>6.193832208096688E-7</v>
      </c>
      <c r="G23">
        <v>0.5</v>
      </c>
      <c r="H23">
        <f t="shared" si="2"/>
        <v>3.4401006809342625E-4</v>
      </c>
    </row>
    <row r="24" spans="2:24" x14ac:dyDescent="0.25">
      <c r="B24">
        <v>3</v>
      </c>
      <c r="C24" s="1">
        <v>0.78</v>
      </c>
      <c r="D24">
        <f t="shared" si="0"/>
        <v>0.77962703397390076</v>
      </c>
      <c r="E24">
        <f t="shared" si="1"/>
        <v>1.3910365662427686E-7</v>
      </c>
      <c r="G24">
        <v>0.75</v>
      </c>
      <c r="H24">
        <f t="shared" si="2"/>
        <v>8.6605424407401057E-4</v>
      </c>
    </row>
    <row r="25" spans="2:24" x14ac:dyDescent="0.25">
      <c r="B25">
        <v>4</v>
      </c>
      <c r="C25" s="1">
        <v>0.99</v>
      </c>
      <c r="D25">
        <f t="shared" si="0"/>
        <v>0.99302684659296947</v>
      </c>
      <c r="E25">
        <f t="shared" si="1"/>
        <v>9.1618002973709409E-6</v>
      </c>
      <c r="G25">
        <v>1</v>
      </c>
      <c r="H25">
        <f t="shared" si="2"/>
        <v>2.1785874547465812E-3</v>
      </c>
    </row>
    <row r="26" spans="2:24" x14ac:dyDescent="0.25">
      <c r="B26">
        <v>5</v>
      </c>
      <c r="C26" s="1">
        <v>0.99</v>
      </c>
      <c r="D26">
        <f t="shared" si="0"/>
        <v>0.99982558281307687</v>
      </c>
      <c r="E26">
        <f t="shared" si="1"/>
        <v>9.6542077616631829E-5</v>
      </c>
      <c r="G26">
        <v>1.25</v>
      </c>
      <c r="H26">
        <f t="shared" si="2"/>
        <v>5.4694180635617221E-3</v>
      </c>
    </row>
    <row r="27" spans="2:24" x14ac:dyDescent="0.25">
      <c r="B27">
        <v>6</v>
      </c>
      <c r="C27" s="1">
        <v>1</v>
      </c>
      <c r="D27">
        <f t="shared" si="0"/>
        <v>0.99999566628892789</v>
      </c>
      <c r="E27">
        <f t="shared" si="1"/>
        <v>1.8781051656555771E-11</v>
      </c>
      <c r="G27">
        <v>1.5</v>
      </c>
      <c r="H27">
        <f t="shared" si="2"/>
        <v>1.3663094152418676E-2</v>
      </c>
    </row>
    <row r="28" spans="2:24" x14ac:dyDescent="0.25">
      <c r="B28">
        <v>7</v>
      </c>
      <c r="C28" s="1">
        <v>1</v>
      </c>
      <c r="D28">
        <f t="shared" si="0"/>
        <v>0.99999989233895481</v>
      </c>
      <c r="E28">
        <f t="shared" si="1"/>
        <v>1.159090065140312E-14</v>
      </c>
      <c r="G28">
        <v>1.75</v>
      </c>
      <c r="H28">
        <f t="shared" si="2"/>
        <v>3.3715498903869719E-2</v>
      </c>
    </row>
    <row r="29" spans="2:24" x14ac:dyDescent="0.25">
      <c r="B29">
        <v>8</v>
      </c>
      <c r="C29" s="1">
        <v>1</v>
      </c>
      <c r="D29">
        <f t="shared" si="0"/>
        <v>0.999999997325421</v>
      </c>
      <c r="E29">
        <f t="shared" si="1"/>
        <v>7.1533728417636946E-18</v>
      </c>
      <c r="G29">
        <v>2</v>
      </c>
      <c r="H29">
        <f t="shared" si="2"/>
        <v>8.0787009034770041E-2</v>
      </c>
    </row>
    <row r="30" spans="2:24" x14ac:dyDescent="0.25">
      <c r="B30">
        <v>9</v>
      </c>
      <c r="C30" s="1">
        <v>1</v>
      </c>
      <c r="D30">
        <f t="shared" si="0"/>
        <v>0.99999999993355648</v>
      </c>
      <c r="E30">
        <f t="shared" si="1"/>
        <v>4.4147409984698673E-21</v>
      </c>
      <c r="G30">
        <v>2.25</v>
      </c>
      <c r="H30">
        <f t="shared" si="2"/>
        <v>0.18124981997463754</v>
      </c>
    </row>
    <row r="31" spans="2:24" x14ac:dyDescent="0.25">
      <c r="B31">
        <v>10</v>
      </c>
      <c r="C31" s="1">
        <v>1</v>
      </c>
      <c r="D31">
        <f t="shared" si="0"/>
        <v>0.99999999999834932</v>
      </c>
      <c r="E31">
        <f t="shared" si="1"/>
        <v>2.7247431187885159E-24</v>
      </c>
      <c r="G31">
        <v>2.5</v>
      </c>
      <c r="H31">
        <f t="shared" si="2"/>
        <v>0.35798887385962724</v>
      </c>
    </row>
    <row r="32" spans="2:24" x14ac:dyDescent="0.25">
      <c r="G32">
        <v>2.75</v>
      </c>
      <c r="H32">
        <f t="shared" si="2"/>
        <v>0.58411649434939172</v>
      </c>
    </row>
    <row r="33" spans="2:10" x14ac:dyDescent="0.25">
      <c r="B33" s="18"/>
      <c r="C33" s="18"/>
      <c r="D33" s="18"/>
      <c r="G33">
        <v>3</v>
      </c>
      <c r="H33">
        <f t="shared" si="2"/>
        <v>0.77962703397390076</v>
      </c>
    </row>
    <row r="34" spans="2:10" x14ac:dyDescent="0.25">
      <c r="B34" s="18"/>
      <c r="C34" s="103"/>
      <c r="D34" s="103"/>
      <c r="G34">
        <v>3.25</v>
      </c>
      <c r="H34">
        <f t="shared" si="2"/>
        <v>0.89910261964306737</v>
      </c>
    </row>
    <row r="35" spans="2:10" x14ac:dyDescent="0.25">
      <c r="B35" s="104"/>
      <c r="C35" s="103"/>
      <c r="D35" s="103"/>
      <c r="G35">
        <v>3.5</v>
      </c>
      <c r="H35">
        <f t="shared" si="2"/>
        <v>0.95734797535619331</v>
      </c>
    </row>
    <row r="36" spans="2:10" x14ac:dyDescent="0.25">
      <c r="B36" s="18"/>
      <c r="C36" s="18"/>
      <c r="D36" s="18"/>
      <c r="G36">
        <v>3.75</v>
      </c>
      <c r="H36">
        <f t="shared" si="2"/>
        <v>0.98261980903097734</v>
      </c>
      <c r="J36" s="101"/>
    </row>
    <row r="37" spans="2:10" x14ac:dyDescent="0.25">
      <c r="G37">
        <v>4</v>
      </c>
      <c r="H37">
        <f t="shared" si="2"/>
        <v>0.99302684659296947</v>
      </c>
      <c r="J37" s="102"/>
    </row>
    <row r="38" spans="2:10" x14ac:dyDescent="0.25">
      <c r="G38">
        <v>4.25</v>
      </c>
      <c r="H38">
        <f t="shared" si="2"/>
        <v>0.99721991309111768</v>
      </c>
      <c r="J38" s="4"/>
    </row>
    <row r="39" spans="2:10" x14ac:dyDescent="0.25">
      <c r="G39">
        <v>4.5</v>
      </c>
      <c r="H39">
        <f t="shared" si="2"/>
        <v>0.99889443005788237</v>
      </c>
      <c r="J39" s="4"/>
    </row>
    <row r="40" spans="2:10" x14ac:dyDescent="0.25">
      <c r="G40">
        <v>4.75</v>
      </c>
      <c r="H40">
        <f t="shared" si="2"/>
        <v>0.99956078714529217</v>
      </c>
      <c r="J40" s="101"/>
    </row>
    <row r="41" spans="2:10" x14ac:dyDescent="0.25">
      <c r="G41">
        <v>5</v>
      </c>
      <c r="H41">
        <f t="shared" si="2"/>
        <v>0.99982558281307687</v>
      </c>
    </row>
    <row r="42" spans="2:10" x14ac:dyDescent="0.25">
      <c r="G42">
        <v>5.25</v>
      </c>
      <c r="H42">
        <f t="shared" si="2"/>
        <v>0.99993074770720136</v>
      </c>
    </row>
    <row r="43" spans="2:10" x14ac:dyDescent="0.25">
      <c r="G43">
        <v>5.5</v>
      </c>
      <c r="H43">
        <f t="shared" si="2"/>
        <v>0.99997250514123193</v>
      </c>
    </row>
    <row r="44" spans="2:10" x14ac:dyDescent="0.25">
      <c r="G44">
        <v>5.75</v>
      </c>
      <c r="H44">
        <f t="shared" si="2"/>
        <v>0.9999890841415785</v>
      </c>
    </row>
    <row r="45" spans="2:10" x14ac:dyDescent="0.25">
      <c r="G45">
        <v>6</v>
      </c>
      <c r="H45">
        <f t="shared" si="2"/>
        <v>0.99999566628892789</v>
      </c>
    </row>
    <row r="46" spans="2:10" x14ac:dyDescent="0.25">
      <c r="G46">
        <v>6.25</v>
      </c>
      <c r="H46">
        <f t="shared" si="2"/>
        <v>0.99999827947776632</v>
      </c>
    </row>
    <row r="47" spans="2:10" x14ac:dyDescent="0.25">
      <c r="G47">
        <v>6.5</v>
      </c>
      <c r="H47">
        <f t="shared" si="2"/>
        <v>0.99999931693829092</v>
      </c>
    </row>
    <row r="48" spans="2:10" x14ac:dyDescent="0.25">
      <c r="G48">
        <v>6.75</v>
      </c>
      <c r="H48">
        <f t="shared" si="2"/>
        <v>0.99999972881896104</v>
      </c>
    </row>
    <row r="49" spans="7:8" x14ac:dyDescent="0.25">
      <c r="G49">
        <v>7</v>
      </c>
      <c r="H49">
        <f t="shared" si="2"/>
        <v>0.99999989233895481</v>
      </c>
    </row>
    <row r="50" spans="7:8" x14ac:dyDescent="0.25">
      <c r="G50">
        <v>7.25</v>
      </c>
      <c r="H50">
        <f t="shared" si="2"/>
        <v>0.99999995725770652</v>
      </c>
    </row>
    <row r="51" spans="7:8" x14ac:dyDescent="0.25">
      <c r="G51">
        <v>7.5</v>
      </c>
      <c r="H51">
        <f t="shared" si="2"/>
        <v>0.99999998303096949</v>
      </c>
    </row>
    <row r="52" spans="7:8" x14ac:dyDescent="0.25">
      <c r="G52">
        <v>7.75</v>
      </c>
      <c r="H52">
        <f t="shared" si="2"/>
        <v>0.9999999932631598</v>
      </c>
    </row>
    <row r="53" spans="7:8" x14ac:dyDescent="0.25">
      <c r="G53">
        <v>8</v>
      </c>
      <c r="H53">
        <f t="shared" si="2"/>
        <v>0.999999997325421</v>
      </c>
    </row>
    <row r="54" spans="7:8" x14ac:dyDescent="0.25">
      <c r="G54">
        <v>8.25</v>
      </c>
      <c r="H54">
        <f t="shared" si="2"/>
        <v>0.99999999893817093</v>
      </c>
    </row>
    <row r="55" spans="7:8" x14ac:dyDescent="0.25">
      <c r="G55">
        <v>8.5</v>
      </c>
      <c r="H55">
        <f t="shared" si="2"/>
        <v>0.99999999957844543</v>
      </c>
    </row>
    <row r="56" spans="7:8" x14ac:dyDescent="0.25">
      <c r="G56">
        <v>8.75</v>
      </c>
      <c r="H56">
        <f t="shared" si="2"/>
        <v>0.99999999983263943</v>
      </c>
    </row>
    <row r="57" spans="7:8" x14ac:dyDescent="0.25">
      <c r="G57">
        <v>9</v>
      </c>
      <c r="H57">
        <f t="shared" si="2"/>
        <v>0.99999999993355648</v>
      </c>
    </row>
    <row r="58" spans="7:8" x14ac:dyDescent="0.25">
      <c r="G58">
        <v>9.25</v>
      </c>
      <c r="H58">
        <f t="shared" si="2"/>
        <v>0.99999999997362132</v>
      </c>
    </row>
    <row r="59" spans="7:8" x14ac:dyDescent="0.25">
      <c r="G59">
        <v>9.5</v>
      </c>
      <c r="H59">
        <f t="shared" si="2"/>
        <v>0.99999999998952749</v>
      </c>
    </row>
    <row r="60" spans="7:8" x14ac:dyDescent="0.25">
      <c r="G60">
        <v>9.75</v>
      </c>
      <c r="H60">
        <f t="shared" si="2"/>
        <v>0.99999999999584244</v>
      </c>
    </row>
    <row r="61" spans="7:8" x14ac:dyDescent="0.25">
      <c r="G61">
        <v>10</v>
      </c>
      <c r="H61">
        <f t="shared" si="2"/>
        <v>0.99999999999834932</v>
      </c>
    </row>
  </sheetData>
  <mergeCells count="7">
    <mergeCell ref="B2:J11"/>
    <mergeCell ref="L2:T16"/>
    <mergeCell ref="V2:X17"/>
    <mergeCell ref="B14:D14"/>
    <mergeCell ref="B19:C19"/>
    <mergeCell ref="D19:E19"/>
    <mergeCell ref="G19:H19"/>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E92"/>
  <sheetViews>
    <sheetView workbookViewId="0">
      <selection activeCell="M2" sqref="M2:U16"/>
    </sheetView>
  </sheetViews>
  <sheetFormatPr defaultRowHeight="15" x14ac:dyDescent="0.25"/>
  <cols>
    <col min="1" max="1" width="4.5703125" customWidth="1"/>
    <col min="5" max="5" width="9.85546875" customWidth="1"/>
    <col min="6" max="6" width="10.28515625" customWidth="1"/>
    <col min="10" max="10" width="11" customWidth="1"/>
    <col min="13" max="13" width="18" bestFit="1" customWidth="1"/>
  </cols>
  <sheetData>
    <row r="1" spans="2:31" ht="15.75" thickBot="1" x14ac:dyDescent="0.3"/>
    <row r="2" spans="2:31" ht="15" customHeight="1" x14ac:dyDescent="0.25">
      <c r="B2" s="219" t="s">
        <v>128</v>
      </c>
      <c r="C2" s="215"/>
      <c r="D2" s="215"/>
      <c r="E2" s="215"/>
      <c r="F2" s="215"/>
      <c r="G2" s="215"/>
      <c r="H2" s="215"/>
      <c r="I2" s="215"/>
      <c r="J2" s="220"/>
      <c r="M2" s="199" t="s">
        <v>123</v>
      </c>
      <c r="N2" s="200"/>
      <c r="O2" s="200"/>
      <c r="P2" s="200"/>
      <c r="Q2" s="200"/>
      <c r="R2" s="200"/>
      <c r="S2" s="200"/>
      <c r="T2" s="200"/>
      <c r="U2" s="201"/>
      <c r="W2" s="219" t="s">
        <v>124</v>
      </c>
      <c r="X2" s="215"/>
      <c r="Y2" s="215"/>
      <c r="Z2" s="215"/>
      <c r="AA2" s="215"/>
      <c r="AB2" s="215"/>
      <c r="AC2" s="215"/>
      <c r="AD2" s="215"/>
      <c r="AE2" s="220"/>
    </row>
    <row r="3" spans="2:31" x14ac:dyDescent="0.25">
      <c r="B3" s="221"/>
      <c r="C3" s="216"/>
      <c r="D3" s="216"/>
      <c r="E3" s="216"/>
      <c r="F3" s="216"/>
      <c r="G3" s="216"/>
      <c r="H3" s="216"/>
      <c r="I3" s="216"/>
      <c r="J3" s="222"/>
      <c r="M3" s="202"/>
      <c r="N3" s="203"/>
      <c r="O3" s="203"/>
      <c r="P3" s="203"/>
      <c r="Q3" s="203"/>
      <c r="R3" s="203"/>
      <c r="S3" s="203"/>
      <c r="T3" s="203"/>
      <c r="U3" s="204"/>
      <c r="W3" s="221"/>
      <c r="X3" s="216"/>
      <c r="Y3" s="216"/>
      <c r="Z3" s="216"/>
      <c r="AA3" s="216"/>
      <c r="AB3" s="216"/>
      <c r="AC3" s="216"/>
      <c r="AD3" s="216"/>
      <c r="AE3" s="222"/>
    </row>
    <row r="4" spans="2:31" x14ac:dyDescent="0.25">
      <c r="B4" s="221"/>
      <c r="C4" s="216"/>
      <c r="D4" s="216"/>
      <c r="E4" s="216"/>
      <c r="F4" s="216"/>
      <c r="G4" s="216"/>
      <c r="H4" s="216"/>
      <c r="I4" s="216"/>
      <c r="J4" s="222"/>
      <c r="M4" s="202"/>
      <c r="N4" s="203"/>
      <c r="O4" s="203"/>
      <c r="P4" s="203"/>
      <c r="Q4" s="203"/>
      <c r="R4" s="203"/>
      <c r="S4" s="203"/>
      <c r="T4" s="203"/>
      <c r="U4" s="204"/>
      <c r="W4" s="221"/>
      <c r="X4" s="216"/>
      <c r="Y4" s="216"/>
      <c r="Z4" s="216"/>
      <c r="AA4" s="216"/>
      <c r="AB4" s="216"/>
      <c r="AC4" s="216"/>
      <c r="AD4" s="216"/>
      <c r="AE4" s="222"/>
    </row>
    <row r="5" spans="2:31" x14ac:dyDescent="0.25">
      <c r="B5" s="221"/>
      <c r="C5" s="216"/>
      <c r="D5" s="216"/>
      <c r="E5" s="216"/>
      <c r="F5" s="216"/>
      <c r="G5" s="216"/>
      <c r="H5" s="216"/>
      <c r="I5" s="216"/>
      <c r="J5" s="222"/>
      <c r="M5" s="202"/>
      <c r="N5" s="203"/>
      <c r="O5" s="203"/>
      <c r="P5" s="203"/>
      <c r="Q5" s="203"/>
      <c r="R5" s="203"/>
      <c r="S5" s="203"/>
      <c r="T5" s="203"/>
      <c r="U5" s="204"/>
      <c r="W5" s="221"/>
      <c r="X5" s="216"/>
      <c r="Y5" s="216"/>
      <c r="Z5" s="216"/>
      <c r="AA5" s="216"/>
      <c r="AB5" s="216"/>
      <c r="AC5" s="216"/>
      <c r="AD5" s="216"/>
      <c r="AE5" s="222"/>
    </row>
    <row r="6" spans="2:31" x14ac:dyDescent="0.25">
      <c r="B6" s="221"/>
      <c r="C6" s="216"/>
      <c r="D6" s="216"/>
      <c r="E6" s="216"/>
      <c r="F6" s="216"/>
      <c r="G6" s="216"/>
      <c r="H6" s="216"/>
      <c r="I6" s="216"/>
      <c r="J6" s="222"/>
      <c r="M6" s="202"/>
      <c r="N6" s="203"/>
      <c r="O6" s="203"/>
      <c r="P6" s="203"/>
      <c r="Q6" s="203"/>
      <c r="R6" s="203"/>
      <c r="S6" s="203"/>
      <c r="T6" s="203"/>
      <c r="U6" s="204"/>
      <c r="W6" s="221"/>
      <c r="X6" s="216"/>
      <c r="Y6" s="216"/>
      <c r="Z6" s="216"/>
      <c r="AA6" s="216"/>
      <c r="AB6" s="216"/>
      <c r="AC6" s="216"/>
      <c r="AD6" s="216"/>
      <c r="AE6" s="222"/>
    </row>
    <row r="7" spans="2:31" x14ac:dyDescent="0.25">
      <c r="B7" s="221"/>
      <c r="C7" s="216"/>
      <c r="D7" s="216"/>
      <c r="E7" s="216"/>
      <c r="F7" s="216"/>
      <c r="G7" s="216"/>
      <c r="H7" s="216"/>
      <c r="I7" s="216"/>
      <c r="J7" s="222"/>
      <c r="M7" s="202"/>
      <c r="N7" s="203"/>
      <c r="O7" s="203"/>
      <c r="P7" s="203"/>
      <c r="Q7" s="203"/>
      <c r="R7" s="203"/>
      <c r="S7" s="203"/>
      <c r="T7" s="203"/>
      <c r="U7" s="204"/>
      <c r="W7" s="221"/>
      <c r="X7" s="216"/>
      <c r="Y7" s="216"/>
      <c r="Z7" s="216"/>
      <c r="AA7" s="216"/>
      <c r="AB7" s="216"/>
      <c r="AC7" s="216"/>
      <c r="AD7" s="216"/>
      <c r="AE7" s="222"/>
    </row>
    <row r="8" spans="2:31" x14ac:dyDescent="0.25">
      <c r="B8" s="221"/>
      <c r="C8" s="216"/>
      <c r="D8" s="216"/>
      <c r="E8" s="216"/>
      <c r="F8" s="216"/>
      <c r="G8" s="216"/>
      <c r="H8" s="216"/>
      <c r="I8" s="216"/>
      <c r="J8" s="222"/>
      <c r="M8" s="202"/>
      <c r="N8" s="203"/>
      <c r="O8" s="203"/>
      <c r="P8" s="203"/>
      <c r="Q8" s="203"/>
      <c r="R8" s="203"/>
      <c r="S8" s="203"/>
      <c r="T8" s="203"/>
      <c r="U8" s="204"/>
      <c r="W8" s="221"/>
      <c r="X8" s="216"/>
      <c r="Y8" s="216"/>
      <c r="Z8" s="216"/>
      <c r="AA8" s="216"/>
      <c r="AB8" s="216"/>
      <c r="AC8" s="216"/>
      <c r="AD8" s="216"/>
      <c r="AE8" s="222"/>
    </row>
    <row r="9" spans="2:31" x14ac:dyDescent="0.25">
      <c r="B9" s="221"/>
      <c r="C9" s="216"/>
      <c r="D9" s="216"/>
      <c r="E9" s="216"/>
      <c r="F9" s="216"/>
      <c r="G9" s="216"/>
      <c r="H9" s="216"/>
      <c r="I9" s="216"/>
      <c r="J9" s="222"/>
      <c r="M9" s="202"/>
      <c r="N9" s="203"/>
      <c r="O9" s="203"/>
      <c r="P9" s="203"/>
      <c r="Q9" s="203"/>
      <c r="R9" s="203"/>
      <c r="S9" s="203"/>
      <c r="T9" s="203"/>
      <c r="U9" s="204"/>
      <c r="W9" s="221"/>
      <c r="X9" s="216"/>
      <c r="Y9" s="216"/>
      <c r="Z9" s="216"/>
      <c r="AA9" s="216"/>
      <c r="AB9" s="216"/>
      <c r="AC9" s="216"/>
      <c r="AD9" s="216"/>
      <c r="AE9" s="222"/>
    </row>
    <row r="10" spans="2:31" x14ac:dyDescent="0.25">
      <c r="B10" s="221"/>
      <c r="C10" s="216"/>
      <c r="D10" s="216"/>
      <c r="E10" s="216"/>
      <c r="F10" s="216"/>
      <c r="G10" s="216"/>
      <c r="H10" s="216"/>
      <c r="I10" s="216"/>
      <c r="J10" s="222"/>
      <c r="M10" s="202"/>
      <c r="N10" s="203"/>
      <c r="O10" s="203"/>
      <c r="P10" s="203"/>
      <c r="Q10" s="203"/>
      <c r="R10" s="203"/>
      <c r="S10" s="203"/>
      <c r="T10" s="203"/>
      <c r="U10" s="204"/>
      <c r="W10" s="221"/>
      <c r="X10" s="216"/>
      <c r="Y10" s="216"/>
      <c r="Z10" s="216"/>
      <c r="AA10" s="216"/>
      <c r="AB10" s="216"/>
      <c r="AC10" s="216"/>
      <c r="AD10" s="216"/>
      <c r="AE10" s="222"/>
    </row>
    <row r="11" spans="2:31" ht="15.75" thickBot="1" x14ac:dyDescent="0.3">
      <c r="B11" s="221"/>
      <c r="C11" s="216"/>
      <c r="D11" s="216"/>
      <c r="E11" s="216"/>
      <c r="F11" s="216"/>
      <c r="G11" s="216"/>
      <c r="H11" s="216"/>
      <c r="I11" s="216"/>
      <c r="J11" s="222"/>
      <c r="M11" s="202"/>
      <c r="N11" s="203"/>
      <c r="O11" s="203"/>
      <c r="P11" s="203"/>
      <c r="Q11" s="203"/>
      <c r="R11" s="203"/>
      <c r="S11" s="203"/>
      <c r="T11" s="203"/>
      <c r="U11" s="204"/>
      <c r="W11" s="223"/>
      <c r="X11" s="224"/>
      <c r="Y11" s="224"/>
      <c r="Z11" s="224"/>
      <c r="AA11" s="224"/>
      <c r="AB11" s="224"/>
      <c r="AC11" s="224"/>
      <c r="AD11" s="224"/>
      <c r="AE11" s="225"/>
    </row>
    <row r="12" spans="2:31" ht="15.75" thickBot="1" x14ac:dyDescent="0.3">
      <c r="B12" s="223"/>
      <c r="C12" s="224"/>
      <c r="D12" s="224"/>
      <c r="E12" s="224"/>
      <c r="F12" s="224"/>
      <c r="G12" s="224"/>
      <c r="H12" s="224"/>
      <c r="I12" s="224"/>
      <c r="J12" s="225"/>
      <c r="M12" s="202"/>
      <c r="N12" s="203"/>
      <c r="O12" s="203"/>
      <c r="P12" s="203"/>
      <c r="Q12" s="203"/>
      <c r="R12" s="203"/>
      <c r="S12" s="203"/>
      <c r="T12" s="203"/>
      <c r="U12" s="204"/>
    </row>
    <row r="13" spans="2:31" x14ac:dyDescent="0.25">
      <c r="M13" s="202"/>
      <c r="N13" s="203"/>
      <c r="O13" s="203"/>
      <c r="P13" s="203"/>
      <c r="Q13" s="203"/>
      <c r="R13" s="203"/>
      <c r="S13" s="203"/>
      <c r="T13" s="203"/>
      <c r="U13" s="204"/>
    </row>
    <row r="14" spans="2:31" x14ac:dyDescent="0.25">
      <c r="B14" s="112" t="s">
        <v>18</v>
      </c>
      <c r="C14" s="112" t="s">
        <v>47</v>
      </c>
      <c r="D14" s="112" t="s">
        <v>13</v>
      </c>
      <c r="E14" s="112" t="s">
        <v>127</v>
      </c>
      <c r="G14" s="238" t="s">
        <v>125</v>
      </c>
      <c r="H14" s="238"/>
      <c r="I14" s="238" t="s">
        <v>126</v>
      </c>
      <c r="J14" s="238"/>
      <c r="M14" s="202"/>
      <c r="N14" s="203"/>
      <c r="O14" s="203"/>
      <c r="P14" s="203"/>
      <c r="Q14" s="203"/>
      <c r="R14" s="203"/>
      <c r="S14" s="203"/>
      <c r="T14" s="203"/>
      <c r="U14" s="204"/>
    </row>
    <row r="15" spans="2:31" x14ac:dyDescent="0.25">
      <c r="B15" s="77">
        <f>-N54</f>
        <v>1.095752916516104</v>
      </c>
      <c r="C15" s="77">
        <v>0.2</v>
      </c>
      <c r="D15" s="77">
        <f>B15-C15</f>
        <v>0.895752916516104</v>
      </c>
      <c r="E15" s="77">
        <v>15</v>
      </c>
      <c r="G15" s="237">
        <f>2.98/E15</f>
        <v>0.19866666666666666</v>
      </c>
      <c r="H15" s="237"/>
      <c r="I15" s="239">
        <f>EXP(1.46-1.01*(LN(E15)))</f>
        <v>0.2793944481106253</v>
      </c>
      <c r="J15" s="239"/>
      <c r="M15" s="202"/>
      <c r="N15" s="203"/>
      <c r="O15" s="203"/>
      <c r="P15" s="203"/>
      <c r="Q15" s="203"/>
      <c r="R15" s="203"/>
      <c r="S15" s="203"/>
      <c r="T15" s="203"/>
      <c r="U15" s="204"/>
    </row>
    <row r="16" spans="2:31" ht="15.75" thickBot="1" x14ac:dyDescent="0.3">
      <c r="M16" s="205"/>
      <c r="N16" s="206"/>
      <c r="O16" s="206"/>
      <c r="P16" s="206"/>
      <c r="Q16" s="206"/>
      <c r="R16" s="206"/>
      <c r="S16" s="206"/>
      <c r="T16" s="206"/>
      <c r="U16" s="207"/>
    </row>
    <row r="17" spans="2:10" x14ac:dyDescent="0.25">
      <c r="B17" s="235" t="s">
        <v>98</v>
      </c>
      <c r="C17" s="235"/>
      <c r="D17" s="235"/>
      <c r="E17" s="235"/>
      <c r="G17" s="236" t="s">
        <v>98</v>
      </c>
      <c r="H17" s="236"/>
      <c r="I17" s="236"/>
      <c r="J17" s="236"/>
    </row>
    <row r="18" spans="2:10" x14ac:dyDescent="0.25">
      <c r="B18" s="98" t="s">
        <v>15</v>
      </c>
      <c r="C18" s="98" t="s">
        <v>0</v>
      </c>
      <c r="D18" s="98" t="s">
        <v>16</v>
      </c>
      <c r="E18" s="98" t="s">
        <v>17</v>
      </c>
      <c r="G18" s="107" t="s">
        <v>15</v>
      </c>
      <c r="H18" s="107" t="s">
        <v>0</v>
      </c>
      <c r="I18" s="107" t="s">
        <v>16</v>
      </c>
      <c r="J18" s="107" t="s">
        <v>17</v>
      </c>
    </row>
    <row r="19" spans="2:10" x14ac:dyDescent="0.25">
      <c r="B19">
        <v>1985</v>
      </c>
      <c r="C19">
        <v>0</v>
      </c>
      <c r="D19">
        <v>12.33</v>
      </c>
      <c r="E19">
        <f>LN(D19)</f>
        <v>2.5120353171762528</v>
      </c>
      <c r="G19">
        <v>1995</v>
      </c>
      <c r="H19">
        <v>0</v>
      </c>
      <c r="I19">
        <v>141.88</v>
      </c>
      <c r="J19">
        <f>LN(I19)</f>
        <v>4.9549816299054212</v>
      </c>
    </row>
    <row r="20" spans="2:10" x14ac:dyDescent="0.25">
      <c r="B20">
        <v>1986</v>
      </c>
      <c r="C20">
        <v>1</v>
      </c>
      <c r="D20">
        <v>10</v>
      </c>
      <c r="E20">
        <f t="shared" ref="E20:E25" si="0">LN(D20)</f>
        <v>2.3025850929940459</v>
      </c>
      <c r="G20">
        <v>1996</v>
      </c>
      <c r="H20">
        <v>1</v>
      </c>
      <c r="I20">
        <v>129.36000000000001</v>
      </c>
      <c r="J20">
        <f t="shared" ref="J20:J25" si="1">LN(I20)</f>
        <v>4.8625992152688511</v>
      </c>
    </row>
    <row r="21" spans="2:10" x14ac:dyDescent="0.25">
      <c r="B21">
        <v>1987</v>
      </c>
      <c r="C21">
        <v>2</v>
      </c>
      <c r="D21">
        <v>3.26</v>
      </c>
      <c r="E21">
        <f t="shared" si="0"/>
        <v>1.1817271953786161</v>
      </c>
      <c r="G21">
        <v>1997</v>
      </c>
      <c r="H21">
        <v>2</v>
      </c>
      <c r="I21">
        <v>68.900000000000006</v>
      </c>
      <c r="J21">
        <f t="shared" si="1"/>
        <v>4.2326561780196128</v>
      </c>
    </row>
    <row r="22" spans="2:10" x14ac:dyDescent="0.25">
      <c r="B22">
        <v>1988</v>
      </c>
      <c r="C22">
        <v>3</v>
      </c>
      <c r="D22">
        <v>0.97</v>
      </c>
      <c r="E22">
        <f t="shared" si="0"/>
        <v>-3.0459207484708574E-2</v>
      </c>
      <c r="G22">
        <v>1998</v>
      </c>
      <c r="H22">
        <v>3</v>
      </c>
      <c r="I22">
        <v>35.61</v>
      </c>
      <c r="J22">
        <f t="shared" si="1"/>
        <v>3.5726264972896864</v>
      </c>
    </row>
    <row r="23" spans="2:10" x14ac:dyDescent="0.25">
      <c r="B23">
        <v>1989</v>
      </c>
      <c r="C23">
        <v>4</v>
      </c>
      <c r="D23">
        <v>0.33</v>
      </c>
      <c r="E23">
        <f t="shared" si="0"/>
        <v>-1.1086626245216111</v>
      </c>
      <c r="G23">
        <v>1999</v>
      </c>
      <c r="H23">
        <v>4</v>
      </c>
      <c r="I23">
        <v>16.16</v>
      </c>
      <c r="J23">
        <f t="shared" si="1"/>
        <v>2.7825390530929495</v>
      </c>
    </row>
    <row r="24" spans="2:10" x14ac:dyDescent="0.25">
      <c r="B24">
        <v>1990</v>
      </c>
      <c r="C24">
        <v>5</v>
      </c>
      <c r="D24">
        <v>0.13</v>
      </c>
      <c r="E24">
        <f t="shared" si="0"/>
        <v>-2.0402208285265546</v>
      </c>
      <c r="G24">
        <v>2000</v>
      </c>
      <c r="H24">
        <v>5</v>
      </c>
      <c r="I24">
        <v>9.61</v>
      </c>
      <c r="J24">
        <f t="shared" si="1"/>
        <v>2.2628042229822012</v>
      </c>
    </row>
    <row r="25" spans="2:10" x14ac:dyDescent="0.25">
      <c r="B25">
        <v>1991</v>
      </c>
      <c r="C25">
        <v>6</v>
      </c>
      <c r="D25">
        <v>0.04</v>
      </c>
      <c r="E25">
        <f t="shared" si="0"/>
        <v>-3.2188758248682006</v>
      </c>
      <c r="G25">
        <v>2001</v>
      </c>
      <c r="H25">
        <v>6</v>
      </c>
      <c r="I25">
        <v>4.1900000000000004</v>
      </c>
      <c r="J25">
        <f t="shared" si="1"/>
        <v>1.4327007339340465</v>
      </c>
    </row>
    <row r="37" spans="13:18" x14ac:dyDescent="0.25">
      <c r="M37" t="s">
        <v>99</v>
      </c>
    </row>
    <row r="38" spans="13:18" ht="15.75" thickBot="1" x14ac:dyDescent="0.3"/>
    <row r="39" spans="13:18" x14ac:dyDescent="0.25">
      <c r="M39" s="110" t="s">
        <v>100</v>
      </c>
      <c r="N39" s="110"/>
    </row>
    <row r="40" spans="13:18" x14ac:dyDescent="0.25">
      <c r="M40" s="4" t="s">
        <v>101</v>
      </c>
      <c r="N40" s="4">
        <v>0.99940192204011113</v>
      </c>
    </row>
    <row r="41" spans="13:18" x14ac:dyDescent="0.25">
      <c r="M41" s="4" t="s">
        <v>102</v>
      </c>
      <c r="N41" s="4">
        <v>0.99880420177746843</v>
      </c>
    </row>
    <row r="42" spans="13:18" x14ac:dyDescent="0.25">
      <c r="M42" s="4" t="s">
        <v>103</v>
      </c>
      <c r="N42" s="4">
        <v>0.99850525222183562</v>
      </c>
    </row>
    <row r="43" spans="13:18" x14ac:dyDescent="0.25">
      <c r="M43" s="4" t="s">
        <v>104</v>
      </c>
      <c r="N43" s="4">
        <v>7.9303149472257028E-2</v>
      </c>
    </row>
    <row r="44" spans="13:18" ht="15.75" thickBot="1" x14ac:dyDescent="0.3">
      <c r="M44" s="108" t="s">
        <v>105</v>
      </c>
      <c r="N44" s="108">
        <v>6</v>
      </c>
    </row>
    <row r="46" spans="13:18" ht="15.75" thickBot="1" x14ac:dyDescent="0.3">
      <c r="M46" t="s">
        <v>106</v>
      </c>
    </row>
    <row r="47" spans="13:18" x14ac:dyDescent="0.25">
      <c r="M47" s="109"/>
      <c r="N47" s="109" t="s">
        <v>111</v>
      </c>
      <c r="O47" s="109" t="s">
        <v>112</v>
      </c>
      <c r="P47" s="109" t="s">
        <v>113</v>
      </c>
      <c r="Q47" s="109" t="s">
        <v>13</v>
      </c>
      <c r="R47" s="109" t="s">
        <v>114</v>
      </c>
    </row>
    <row r="48" spans="13:18" x14ac:dyDescent="0.25">
      <c r="M48" s="4" t="s">
        <v>107</v>
      </c>
      <c r="N48" s="4">
        <v>1</v>
      </c>
      <c r="O48" s="4">
        <v>21.011802945937099</v>
      </c>
      <c r="P48" s="4">
        <v>21.011802945937099</v>
      </c>
      <c r="Q48" s="4">
        <v>3341.0459489156729</v>
      </c>
      <c r="R48" s="4">
        <v>5.3643890369298989E-7</v>
      </c>
    </row>
    <row r="49" spans="4:21" x14ac:dyDescent="0.25">
      <c r="M49" s="4" t="s">
        <v>108</v>
      </c>
      <c r="N49" s="4">
        <v>4</v>
      </c>
      <c r="O49" s="4">
        <v>2.5155958064876565E-2</v>
      </c>
      <c r="P49" s="4">
        <v>6.2889895162191413E-3</v>
      </c>
      <c r="Q49" s="4"/>
      <c r="R49" s="4"/>
    </row>
    <row r="50" spans="4:21" ht="15.75" thickBot="1" x14ac:dyDescent="0.3">
      <c r="M50" s="108" t="s">
        <v>109</v>
      </c>
      <c r="N50" s="108">
        <v>5</v>
      </c>
      <c r="O50" s="108">
        <v>21.036958904001974</v>
      </c>
      <c r="P50" s="108"/>
      <c r="Q50" s="108"/>
      <c r="R50" s="108"/>
    </row>
    <row r="51" spans="4:21" ht="15.75" thickBot="1" x14ac:dyDescent="0.3"/>
    <row r="52" spans="4:21" x14ac:dyDescent="0.25">
      <c r="M52" s="109"/>
      <c r="N52" s="109" t="s">
        <v>115</v>
      </c>
      <c r="O52" s="109" t="s">
        <v>104</v>
      </c>
      <c r="P52" s="109" t="s">
        <v>116</v>
      </c>
      <c r="Q52" s="109" t="s">
        <v>117</v>
      </c>
      <c r="R52" s="109" t="s">
        <v>118</v>
      </c>
      <c r="S52" s="109" t="s">
        <v>119</v>
      </c>
      <c r="T52" s="109" t="s">
        <v>120</v>
      </c>
      <c r="U52" s="109" t="s">
        <v>121</v>
      </c>
    </row>
    <row r="53" spans="4:21" x14ac:dyDescent="0.25">
      <c r="M53" s="4" t="s">
        <v>110</v>
      </c>
      <c r="N53" s="153">
        <v>2178.4190234594344</v>
      </c>
      <c r="O53" s="4">
        <v>37.696164722596755</v>
      </c>
      <c r="P53" s="4">
        <v>57.788876918653564</v>
      </c>
      <c r="Q53" s="4">
        <v>5.36917746925625E-7</v>
      </c>
      <c r="R53" s="4">
        <v>2073.7576914364558</v>
      </c>
      <c r="S53" s="4">
        <v>2283.0803554824129</v>
      </c>
      <c r="T53" s="4">
        <v>2073.7576914364558</v>
      </c>
      <c r="U53" s="4">
        <v>2283.0803554824129</v>
      </c>
    </row>
    <row r="54" spans="4:21" ht="15.75" thickBot="1" x14ac:dyDescent="0.3">
      <c r="M54" s="108" t="s">
        <v>122</v>
      </c>
      <c r="N54" s="111">
        <v>-1.095752916516104</v>
      </c>
      <c r="O54" s="108">
        <v>1.8957078611912665E-2</v>
      </c>
      <c r="P54" s="108">
        <v>-57.801781537558782</v>
      </c>
      <c r="Q54" s="108">
        <v>5.364389036929918E-7</v>
      </c>
      <c r="R54" s="108">
        <v>-1.1483862046340794</v>
      </c>
      <c r="S54" s="108">
        <v>-1.0431196283981286</v>
      </c>
      <c r="T54" s="108">
        <v>-1.1483862046340794</v>
      </c>
      <c r="U54" s="108">
        <v>-1.0431196283981286</v>
      </c>
    </row>
    <row r="56" spans="4:21" x14ac:dyDescent="0.25">
      <c r="D56" s="19"/>
      <c r="E56" s="19"/>
      <c r="F56" s="19"/>
      <c r="G56" s="19"/>
      <c r="H56" s="19"/>
      <c r="I56" s="19"/>
      <c r="J56" s="19"/>
    </row>
    <row r="57" spans="4:21" x14ac:dyDescent="0.25">
      <c r="D57" s="19"/>
      <c r="E57" s="19"/>
      <c r="F57" s="19"/>
      <c r="G57" s="19"/>
      <c r="H57" s="19"/>
      <c r="I57" s="19"/>
      <c r="J57" s="19"/>
    </row>
    <row r="58" spans="4:21" x14ac:dyDescent="0.25">
      <c r="D58" s="19"/>
      <c r="E58" s="19"/>
      <c r="F58" s="19"/>
      <c r="G58" s="19"/>
      <c r="H58" s="19"/>
      <c r="I58" s="19"/>
      <c r="J58" s="19"/>
    </row>
    <row r="59" spans="4:21" x14ac:dyDescent="0.25">
      <c r="D59" s="19"/>
      <c r="E59" s="19"/>
      <c r="F59" s="19"/>
      <c r="G59" s="19"/>
      <c r="H59" s="19"/>
      <c r="I59" s="19"/>
      <c r="J59" s="19"/>
    </row>
    <row r="60" spans="4:21" x14ac:dyDescent="0.25">
      <c r="D60" s="19"/>
      <c r="E60" s="19"/>
      <c r="F60" s="19"/>
      <c r="G60" s="19"/>
      <c r="H60" s="19"/>
      <c r="I60" s="19"/>
      <c r="J60" s="19"/>
    </row>
    <row r="61" spans="4:21" x14ac:dyDescent="0.25">
      <c r="D61" s="19"/>
      <c r="E61" s="19"/>
      <c r="F61" s="19"/>
      <c r="G61" s="19"/>
      <c r="H61" s="19"/>
      <c r="I61" s="19"/>
      <c r="J61" s="19"/>
    </row>
    <row r="62" spans="4:21" x14ac:dyDescent="0.25">
      <c r="D62" s="19"/>
      <c r="E62" s="19"/>
      <c r="F62" s="19"/>
      <c r="G62" s="19"/>
      <c r="H62" s="19"/>
      <c r="I62" s="19"/>
      <c r="J62" s="19"/>
    </row>
    <row r="63" spans="4:21" x14ac:dyDescent="0.25">
      <c r="D63" s="19"/>
      <c r="E63" s="19"/>
      <c r="F63" s="19"/>
      <c r="G63" s="19"/>
      <c r="H63" s="19"/>
      <c r="I63" s="19"/>
      <c r="J63" s="19"/>
    </row>
    <row r="64" spans="4:21" x14ac:dyDescent="0.25">
      <c r="D64" s="19"/>
      <c r="E64" s="19"/>
      <c r="F64" s="19"/>
      <c r="G64" s="19"/>
      <c r="H64" s="19"/>
      <c r="I64" s="19"/>
      <c r="J64" s="19"/>
    </row>
    <row r="65" spans="4:14" x14ac:dyDescent="0.25">
      <c r="D65" s="19"/>
      <c r="E65" s="19"/>
      <c r="F65" s="19"/>
      <c r="G65" s="113"/>
      <c r="H65" s="19"/>
      <c r="I65" s="19"/>
      <c r="J65" s="19"/>
    </row>
    <row r="66" spans="4:14" x14ac:dyDescent="0.25">
      <c r="D66" s="19"/>
      <c r="E66" s="19"/>
      <c r="F66" s="19"/>
      <c r="G66" s="19"/>
      <c r="H66" s="19"/>
      <c r="I66" s="19"/>
      <c r="J66" s="19"/>
    </row>
    <row r="67" spans="4:14" x14ac:dyDescent="0.25">
      <c r="D67" s="19"/>
      <c r="E67" s="19"/>
      <c r="F67" s="19"/>
      <c r="G67" s="19"/>
      <c r="H67" s="19"/>
      <c r="I67" s="19"/>
      <c r="J67" s="19"/>
    </row>
    <row r="68" spans="4:14" x14ac:dyDescent="0.25">
      <c r="D68" s="19"/>
      <c r="E68" s="19"/>
      <c r="F68" s="19"/>
      <c r="G68" s="19"/>
      <c r="H68" s="19"/>
      <c r="I68" s="19"/>
      <c r="J68" s="19"/>
    </row>
    <row r="69" spans="4:14" x14ac:dyDescent="0.25">
      <c r="D69" s="19"/>
      <c r="E69" s="19"/>
      <c r="F69" s="19"/>
      <c r="G69" s="19"/>
      <c r="H69" s="19"/>
      <c r="I69" s="19"/>
      <c r="J69" s="19"/>
    </row>
    <row r="70" spans="4:14" x14ac:dyDescent="0.25">
      <c r="D70" s="19"/>
      <c r="E70" s="19"/>
      <c r="F70" s="19"/>
      <c r="G70" s="19"/>
      <c r="H70" s="19"/>
      <c r="I70" s="19"/>
      <c r="J70" s="19"/>
    </row>
    <row r="75" spans="4:14" x14ac:dyDescent="0.25">
      <c r="M75" t="s">
        <v>99</v>
      </c>
    </row>
    <row r="76" spans="4:14" ht="15.75" thickBot="1" x14ac:dyDescent="0.3"/>
    <row r="77" spans="4:14" x14ac:dyDescent="0.25">
      <c r="M77" s="110" t="s">
        <v>100</v>
      </c>
      <c r="N77" s="110"/>
    </row>
    <row r="78" spans="4:14" x14ac:dyDescent="0.25">
      <c r="M78" s="4" t="s">
        <v>101</v>
      </c>
      <c r="N78" s="4">
        <v>0.99880298236000109</v>
      </c>
    </row>
    <row r="79" spans="4:14" x14ac:dyDescent="0.25">
      <c r="M79" s="4" t="s">
        <v>102</v>
      </c>
      <c r="N79" s="4">
        <v>0.99760739757123262</v>
      </c>
    </row>
    <row r="80" spans="4:14" x14ac:dyDescent="0.25">
      <c r="M80" s="4" t="s">
        <v>103</v>
      </c>
      <c r="N80" s="4">
        <v>0.99700924696404081</v>
      </c>
    </row>
    <row r="81" spans="13:21" x14ac:dyDescent="0.25">
      <c r="M81" s="4" t="s">
        <v>104</v>
      </c>
      <c r="N81" s="4">
        <v>6.9798978768231754E-2</v>
      </c>
    </row>
    <row r="82" spans="13:21" ht="15.75" thickBot="1" x14ac:dyDescent="0.3">
      <c r="M82" s="108" t="s">
        <v>105</v>
      </c>
      <c r="N82" s="108">
        <v>6</v>
      </c>
    </row>
    <row r="84" spans="13:21" ht="15.75" thickBot="1" x14ac:dyDescent="0.3">
      <c r="M84" t="s">
        <v>106</v>
      </c>
    </row>
    <row r="85" spans="13:21" x14ac:dyDescent="0.25">
      <c r="M85" s="109"/>
      <c r="N85" s="109" t="s">
        <v>111</v>
      </c>
      <c r="O85" s="109" t="s">
        <v>112</v>
      </c>
      <c r="P85" s="109" t="s">
        <v>113</v>
      </c>
      <c r="Q85" s="109" t="s">
        <v>13</v>
      </c>
      <c r="R85" s="109" t="s">
        <v>114</v>
      </c>
    </row>
    <row r="86" spans="13:21" x14ac:dyDescent="0.25">
      <c r="M86" s="4" t="s">
        <v>107</v>
      </c>
      <c r="N86" s="4">
        <v>1</v>
      </c>
      <c r="O86" s="4">
        <v>8.1254467771339396</v>
      </c>
      <c r="P86" s="4">
        <v>8.1254467771339396</v>
      </c>
      <c r="Q86" s="4">
        <v>1667.8197523777349</v>
      </c>
      <c r="R86" s="4">
        <v>2.1484192714246106E-6</v>
      </c>
    </row>
    <row r="87" spans="13:21" x14ac:dyDescent="0.25">
      <c r="M87" s="4" t="s">
        <v>108</v>
      </c>
      <c r="N87" s="4">
        <v>4</v>
      </c>
      <c r="O87" s="4">
        <v>1.9487589748352265E-2</v>
      </c>
      <c r="P87" s="4">
        <v>4.8718974370880663E-3</v>
      </c>
      <c r="Q87" s="4"/>
      <c r="R87" s="4"/>
    </row>
    <row r="88" spans="13:21" ht="15.75" thickBot="1" x14ac:dyDescent="0.3">
      <c r="M88" s="108" t="s">
        <v>109</v>
      </c>
      <c r="N88" s="108">
        <v>5</v>
      </c>
      <c r="O88" s="108">
        <v>8.1449343668822927</v>
      </c>
      <c r="P88" s="108"/>
      <c r="Q88" s="108"/>
      <c r="R88" s="108"/>
    </row>
    <row r="89" spans="13:21" ht="15.75" thickBot="1" x14ac:dyDescent="0.3"/>
    <row r="90" spans="13:21" x14ac:dyDescent="0.25">
      <c r="M90" s="109"/>
      <c r="N90" s="109" t="s">
        <v>115</v>
      </c>
      <c r="O90" s="109" t="s">
        <v>104</v>
      </c>
      <c r="P90" s="109" t="s">
        <v>116</v>
      </c>
      <c r="Q90" s="109" t="s">
        <v>117</v>
      </c>
      <c r="R90" s="109" t="s">
        <v>118</v>
      </c>
      <c r="S90" s="109" t="s">
        <v>119</v>
      </c>
      <c r="T90" s="109" t="s">
        <v>120</v>
      </c>
      <c r="U90" s="109" t="s">
        <v>121</v>
      </c>
    </row>
    <row r="91" spans="13:21" x14ac:dyDescent="0.25">
      <c r="M91" s="4" t="s">
        <v>110</v>
      </c>
      <c r="N91" s="153">
        <v>1364.9766370327266</v>
      </c>
      <c r="O91" s="4">
        <v>33.345278984930495</v>
      </c>
      <c r="P91" s="4">
        <v>40.934629386354544</v>
      </c>
      <c r="Q91" s="4">
        <v>2.128442399645725E-6</v>
      </c>
      <c r="R91" s="4">
        <v>1272.3953004186963</v>
      </c>
      <c r="S91" s="4">
        <v>1457.5579736467569</v>
      </c>
      <c r="T91" s="4">
        <v>1272.3953004186963</v>
      </c>
      <c r="U91" s="4">
        <v>1457.5579736467569</v>
      </c>
    </row>
    <row r="92" spans="13:21" ht="15.75" thickBot="1" x14ac:dyDescent="0.3">
      <c r="M92" s="108" t="s">
        <v>122</v>
      </c>
      <c r="N92" s="111">
        <v>-0.68140387759951393</v>
      </c>
      <c r="O92" s="108">
        <v>1.66851472652229E-2</v>
      </c>
      <c r="P92" s="108">
        <v>-40.838948962696549</v>
      </c>
      <c r="Q92" s="108">
        <v>2.1484192714246182E-6</v>
      </c>
      <c r="R92" s="108">
        <v>-0.72772927305097701</v>
      </c>
      <c r="S92" s="108">
        <v>-0.63507848214805085</v>
      </c>
      <c r="T92" s="108">
        <v>-0.72772927305097701</v>
      </c>
      <c r="U92" s="108">
        <v>-0.63507848214805085</v>
      </c>
    </row>
  </sheetData>
  <mergeCells count="9">
    <mergeCell ref="M2:U16"/>
    <mergeCell ref="B17:E17"/>
    <mergeCell ref="G17:J17"/>
    <mergeCell ref="W2:AE11"/>
    <mergeCell ref="G15:H15"/>
    <mergeCell ref="G14:H14"/>
    <mergeCell ref="I15:J15"/>
    <mergeCell ref="I14:J14"/>
    <mergeCell ref="B2:J12"/>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D58"/>
  <sheetViews>
    <sheetView topLeftCell="A4" workbookViewId="0">
      <selection activeCell="F54" sqref="F54:H54"/>
    </sheetView>
  </sheetViews>
  <sheetFormatPr defaultRowHeight="15" x14ac:dyDescent="0.25"/>
  <cols>
    <col min="2" max="2" width="9.7109375" customWidth="1"/>
    <col min="4" max="5" width="12" bestFit="1" customWidth="1"/>
    <col min="7" max="7" width="9.5703125" customWidth="1"/>
    <col min="8" max="8" width="9.28515625" customWidth="1"/>
    <col min="9" max="10" width="12" bestFit="1" customWidth="1"/>
    <col min="20" max="20" width="12.85546875" customWidth="1"/>
  </cols>
  <sheetData>
    <row r="1" spans="2:30" ht="15.75" thickBot="1" x14ac:dyDescent="0.3"/>
    <row r="2" spans="2:30" ht="15" customHeight="1" x14ac:dyDescent="0.25">
      <c r="B2" s="219" t="s">
        <v>137</v>
      </c>
      <c r="C2" s="215"/>
      <c r="D2" s="215"/>
      <c r="E2" s="215"/>
      <c r="F2" s="215"/>
      <c r="G2" s="215"/>
      <c r="H2" s="215"/>
      <c r="I2" s="215"/>
      <c r="J2" s="220"/>
      <c r="L2" s="199" t="s">
        <v>139</v>
      </c>
      <c r="M2" s="200"/>
      <c r="N2" s="200"/>
      <c r="O2" s="200"/>
      <c r="P2" s="200"/>
      <c r="Q2" s="200"/>
      <c r="R2" s="200"/>
      <c r="S2" s="200"/>
      <c r="T2" s="201"/>
      <c r="V2" s="199" t="s">
        <v>140</v>
      </c>
      <c r="W2" s="200"/>
      <c r="X2" s="200"/>
      <c r="Y2" s="200"/>
      <c r="Z2" s="200"/>
      <c r="AA2" s="200"/>
      <c r="AB2" s="200"/>
      <c r="AC2" s="200"/>
      <c r="AD2" s="201"/>
    </row>
    <row r="3" spans="2:30" x14ac:dyDescent="0.25">
      <c r="B3" s="221"/>
      <c r="C3" s="216"/>
      <c r="D3" s="216"/>
      <c r="E3" s="216"/>
      <c r="F3" s="216"/>
      <c r="G3" s="216"/>
      <c r="H3" s="216"/>
      <c r="I3" s="216"/>
      <c r="J3" s="222"/>
      <c r="L3" s="202"/>
      <c r="M3" s="203"/>
      <c r="N3" s="203"/>
      <c r="O3" s="203"/>
      <c r="P3" s="203"/>
      <c r="Q3" s="203"/>
      <c r="R3" s="203"/>
      <c r="S3" s="203"/>
      <c r="T3" s="204"/>
      <c r="V3" s="202"/>
      <c r="W3" s="203"/>
      <c r="X3" s="203"/>
      <c r="Y3" s="203"/>
      <c r="Z3" s="203"/>
      <c r="AA3" s="203"/>
      <c r="AB3" s="203"/>
      <c r="AC3" s="203"/>
      <c r="AD3" s="204"/>
    </row>
    <row r="4" spans="2:30" x14ac:dyDescent="0.25">
      <c r="B4" s="221"/>
      <c r="C4" s="216"/>
      <c r="D4" s="216"/>
      <c r="E4" s="216"/>
      <c r="F4" s="216"/>
      <c r="G4" s="216"/>
      <c r="H4" s="216"/>
      <c r="I4" s="216"/>
      <c r="J4" s="222"/>
      <c r="L4" s="202"/>
      <c r="M4" s="203"/>
      <c r="N4" s="203"/>
      <c r="O4" s="203"/>
      <c r="P4" s="203"/>
      <c r="Q4" s="203"/>
      <c r="R4" s="203"/>
      <c r="S4" s="203"/>
      <c r="T4" s="204"/>
      <c r="V4" s="202"/>
      <c r="W4" s="203"/>
      <c r="X4" s="203"/>
      <c r="Y4" s="203"/>
      <c r="Z4" s="203"/>
      <c r="AA4" s="203"/>
      <c r="AB4" s="203"/>
      <c r="AC4" s="203"/>
      <c r="AD4" s="204"/>
    </row>
    <row r="5" spans="2:30" x14ac:dyDescent="0.25">
      <c r="B5" s="221"/>
      <c r="C5" s="216"/>
      <c r="D5" s="216"/>
      <c r="E5" s="216"/>
      <c r="F5" s="216"/>
      <c r="G5" s="216"/>
      <c r="H5" s="216"/>
      <c r="I5" s="216"/>
      <c r="J5" s="222"/>
      <c r="L5" s="202"/>
      <c r="M5" s="203"/>
      <c r="N5" s="203"/>
      <c r="O5" s="203"/>
      <c r="P5" s="203"/>
      <c r="Q5" s="203"/>
      <c r="R5" s="203"/>
      <c r="S5" s="203"/>
      <c r="T5" s="204"/>
      <c r="V5" s="202"/>
      <c r="W5" s="203"/>
      <c r="X5" s="203"/>
      <c r="Y5" s="203"/>
      <c r="Z5" s="203"/>
      <c r="AA5" s="203"/>
      <c r="AB5" s="203"/>
      <c r="AC5" s="203"/>
      <c r="AD5" s="204"/>
    </row>
    <row r="6" spans="2:30" x14ac:dyDescent="0.25">
      <c r="B6" s="221"/>
      <c r="C6" s="216"/>
      <c r="D6" s="216"/>
      <c r="E6" s="216"/>
      <c r="F6" s="216"/>
      <c r="G6" s="216"/>
      <c r="H6" s="216"/>
      <c r="I6" s="216"/>
      <c r="J6" s="222"/>
      <c r="L6" s="202"/>
      <c r="M6" s="203"/>
      <c r="N6" s="203"/>
      <c r="O6" s="203"/>
      <c r="P6" s="203"/>
      <c r="Q6" s="203"/>
      <c r="R6" s="203"/>
      <c r="S6" s="203"/>
      <c r="T6" s="204"/>
      <c r="V6" s="202"/>
      <c r="W6" s="203"/>
      <c r="X6" s="203"/>
      <c r="Y6" s="203"/>
      <c r="Z6" s="203"/>
      <c r="AA6" s="203"/>
      <c r="AB6" s="203"/>
      <c r="AC6" s="203"/>
      <c r="AD6" s="204"/>
    </row>
    <row r="7" spans="2:30" x14ac:dyDescent="0.25">
      <c r="B7" s="221"/>
      <c r="C7" s="216"/>
      <c r="D7" s="216"/>
      <c r="E7" s="216"/>
      <c r="F7" s="216"/>
      <c r="G7" s="216"/>
      <c r="H7" s="216"/>
      <c r="I7" s="216"/>
      <c r="J7" s="222"/>
      <c r="L7" s="202"/>
      <c r="M7" s="203"/>
      <c r="N7" s="203"/>
      <c r="O7" s="203"/>
      <c r="P7" s="203"/>
      <c r="Q7" s="203"/>
      <c r="R7" s="203"/>
      <c r="S7" s="203"/>
      <c r="T7" s="204"/>
      <c r="V7" s="202"/>
      <c r="W7" s="203"/>
      <c r="X7" s="203"/>
      <c r="Y7" s="203"/>
      <c r="Z7" s="203"/>
      <c r="AA7" s="203"/>
      <c r="AB7" s="203"/>
      <c r="AC7" s="203"/>
      <c r="AD7" s="204"/>
    </row>
    <row r="8" spans="2:30" x14ac:dyDescent="0.25">
      <c r="B8" s="221"/>
      <c r="C8" s="216"/>
      <c r="D8" s="216"/>
      <c r="E8" s="216"/>
      <c r="F8" s="216"/>
      <c r="G8" s="216"/>
      <c r="H8" s="216"/>
      <c r="I8" s="216"/>
      <c r="J8" s="222"/>
      <c r="L8" s="202"/>
      <c r="M8" s="203"/>
      <c r="N8" s="203"/>
      <c r="O8" s="203"/>
      <c r="P8" s="203"/>
      <c r="Q8" s="203"/>
      <c r="R8" s="203"/>
      <c r="S8" s="203"/>
      <c r="T8" s="204"/>
      <c r="V8" s="202"/>
      <c r="W8" s="203"/>
      <c r="X8" s="203"/>
      <c r="Y8" s="203"/>
      <c r="Z8" s="203"/>
      <c r="AA8" s="203"/>
      <c r="AB8" s="203"/>
      <c r="AC8" s="203"/>
      <c r="AD8" s="204"/>
    </row>
    <row r="9" spans="2:30" x14ac:dyDescent="0.25">
      <c r="B9" s="221"/>
      <c r="C9" s="216"/>
      <c r="D9" s="216"/>
      <c r="E9" s="216"/>
      <c r="F9" s="216"/>
      <c r="G9" s="216"/>
      <c r="H9" s="216"/>
      <c r="I9" s="216"/>
      <c r="J9" s="222"/>
      <c r="L9" s="202"/>
      <c r="M9" s="203"/>
      <c r="N9" s="203"/>
      <c r="O9" s="203"/>
      <c r="P9" s="203"/>
      <c r="Q9" s="203"/>
      <c r="R9" s="203"/>
      <c r="S9" s="203"/>
      <c r="T9" s="204"/>
      <c r="V9" s="202"/>
      <c r="W9" s="203"/>
      <c r="X9" s="203"/>
      <c r="Y9" s="203"/>
      <c r="Z9" s="203"/>
      <c r="AA9" s="203"/>
      <c r="AB9" s="203"/>
      <c r="AC9" s="203"/>
      <c r="AD9" s="204"/>
    </row>
    <row r="10" spans="2:30" x14ac:dyDescent="0.25">
      <c r="B10" s="221"/>
      <c r="C10" s="216"/>
      <c r="D10" s="216"/>
      <c r="E10" s="216"/>
      <c r="F10" s="216"/>
      <c r="G10" s="216"/>
      <c r="H10" s="216"/>
      <c r="I10" s="216"/>
      <c r="J10" s="222"/>
      <c r="L10" s="202"/>
      <c r="M10" s="203"/>
      <c r="N10" s="203"/>
      <c r="O10" s="203"/>
      <c r="P10" s="203"/>
      <c r="Q10" s="203"/>
      <c r="R10" s="203"/>
      <c r="S10" s="203"/>
      <c r="T10" s="204"/>
      <c r="V10" s="202"/>
      <c r="W10" s="203"/>
      <c r="X10" s="203"/>
      <c r="Y10" s="203"/>
      <c r="Z10" s="203"/>
      <c r="AA10" s="203"/>
      <c r="AB10" s="203"/>
      <c r="AC10" s="203"/>
      <c r="AD10" s="204"/>
    </row>
    <row r="11" spans="2:30" x14ac:dyDescent="0.25">
      <c r="B11" s="221"/>
      <c r="C11" s="216"/>
      <c r="D11" s="216"/>
      <c r="E11" s="216"/>
      <c r="F11" s="216"/>
      <c r="G11" s="216"/>
      <c r="H11" s="216"/>
      <c r="I11" s="216"/>
      <c r="J11" s="222"/>
      <c r="L11" s="202"/>
      <c r="M11" s="203"/>
      <c r="N11" s="203"/>
      <c r="O11" s="203"/>
      <c r="P11" s="203"/>
      <c r="Q11" s="203"/>
      <c r="R11" s="203"/>
      <c r="S11" s="203"/>
      <c r="T11" s="204"/>
      <c r="V11" s="202"/>
      <c r="W11" s="203"/>
      <c r="X11" s="203"/>
      <c r="Y11" s="203"/>
      <c r="Z11" s="203"/>
      <c r="AA11" s="203"/>
      <c r="AB11" s="203"/>
      <c r="AC11" s="203"/>
      <c r="AD11" s="204"/>
    </row>
    <row r="12" spans="2:30" ht="15.75" thickBot="1" x14ac:dyDescent="0.3">
      <c r="B12" s="223"/>
      <c r="C12" s="224"/>
      <c r="D12" s="224"/>
      <c r="E12" s="224"/>
      <c r="F12" s="224"/>
      <c r="G12" s="224"/>
      <c r="H12" s="224"/>
      <c r="I12" s="224"/>
      <c r="J12" s="225"/>
      <c r="L12" s="202"/>
      <c r="M12" s="203"/>
      <c r="N12" s="203"/>
      <c r="O12" s="203"/>
      <c r="P12" s="203"/>
      <c r="Q12" s="203"/>
      <c r="R12" s="203"/>
      <c r="S12" s="203"/>
      <c r="T12" s="204"/>
      <c r="V12" s="202"/>
      <c r="W12" s="203"/>
      <c r="X12" s="203"/>
      <c r="Y12" s="203"/>
      <c r="Z12" s="203"/>
      <c r="AA12" s="203"/>
      <c r="AB12" s="203"/>
      <c r="AC12" s="203"/>
      <c r="AD12" s="204"/>
    </row>
    <row r="13" spans="2:30" x14ac:dyDescent="0.25">
      <c r="B13" s="169"/>
      <c r="C13" s="169"/>
      <c r="D13" s="169"/>
      <c r="E13" s="169"/>
      <c r="F13" s="169"/>
      <c r="G13" s="169"/>
      <c r="H13" s="169"/>
      <c r="I13" s="169"/>
      <c r="J13" s="169"/>
      <c r="L13" s="202"/>
      <c r="M13" s="203"/>
      <c r="N13" s="203"/>
      <c r="O13" s="203"/>
      <c r="P13" s="203"/>
      <c r="Q13" s="203"/>
      <c r="R13" s="203"/>
      <c r="S13" s="203"/>
      <c r="T13" s="204"/>
      <c r="V13" s="202"/>
      <c r="W13" s="203"/>
      <c r="X13" s="203"/>
      <c r="Y13" s="203"/>
      <c r="Z13" s="203"/>
      <c r="AA13" s="203"/>
      <c r="AB13" s="203"/>
      <c r="AC13" s="203"/>
      <c r="AD13" s="204"/>
    </row>
    <row r="14" spans="2:30" ht="15.75" thickBot="1" x14ac:dyDescent="0.3">
      <c r="L14" s="202"/>
      <c r="M14" s="203"/>
      <c r="N14" s="203"/>
      <c r="O14" s="203"/>
      <c r="P14" s="203"/>
      <c r="Q14" s="203"/>
      <c r="R14" s="203"/>
      <c r="S14" s="203"/>
      <c r="T14" s="204"/>
      <c r="V14" s="202"/>
      <c r="W14" s="203"/>
      <c r="X14" s="203"/>
      <c r="Y14" s="203"/>
      <c r="Z14" s="203"/>
      <c r="AA14" s="203"/>
      <c r="AB14" s="203"/>
      <c r="AC14" s="203"/>
      <c r="AD14" s="204"/>
    </row>
    <row r="15" spans="2:30" ht="15.75" customHeight="1" thickTop="1" x14ac:dyDescent="0.25">
      <c r="B15" s="212" t="s">
        <v>138</v>
      </c>
      <c r="C15" s="213"/>
      <c r="D15" s="214"/>
      <c r="G15" s="212" t="s">
        <v>138</v>
      </c>
      <c r="H15" s="213"/>
      <c r="I15" s="214"/>
      <c r="L15" s="202"/>
      <c r="M15" s="203"/>
      <c r="N15" s="203"/>
      <c r="O15" s="203"/>
      <c r="P15" s="203"/>
      <c r="Q15" s="203"/>
      <c r="R15" s="203"/>
      <c r="S15" s="203"/>
      <c r="T15" s="204"/>
      <c r="V15" s="202"/>
      <c r="W15" s="203"/>
      <c r="X15" s="203"/>
      <c r="Y15" s="203"/>
      <c r="Z15" s="203"/>
      <c r="AA15" s="203"/>
      <c r="AB15" s="203"/>
      <c r="AC15" s="203"/>
      <c r="AD15" s="204"/>
    </row>
    <row r="16" spans="2:30" x14ac:dyDescent="0.25">
      <c r="B16" s="80" t="s">
        <v>2</v>
      </c>
      <c r="C16" s="79" t="s">
        <v>3</v>
      </c>
      <c r="D16" s="81" t="s">
        <v>4</v>
      </c>
      <c r="G16" s="80" t="s">
        <v>2</v>
      </c>
      <c r="H16" s="79" t="s">
        <v>3</v>
      </c>
      <c r="I16" s="81" t="s">
        <v>4</v>
      </c>
      <c r="L16" s="202"/>
      <c r="M16" s="203"/>
      <c r="N16" s="203"/>
      <c r="O16" s="203"/>
      <c r="P16" s="203"/>
      <c r="Q16" s="203"/>
      <c r="R16" s="203"/>
      <c r="S16" s="203"/>
      <c r="T16" s="204"/>
      <c r="V16" s="202"/>
      <c r="W16" s="203"/>
      <c r="X16" s="203"/>
      <c r="Y16" s="203"/>
      <c r="Z16" s="203"/>
      <c r="AA16" s="203"/>
      <c r="AB16" s="203"/>
      <c r="AC16" s="203"/>
      <c r="AD16" s="204"/>
    </row>
    <row r="17" spans="2:30" x14ac:dyDescent="0.25">
      <c r="B17" s="80" t="s">
        <v>73</v>
      </c>
      <c r="C17" s="79"/>
      <c r="D17" s="81">
        <v>12</v>
      </c>
      <c r="E17" s="154"/>
      <c r="G17" s="80" t="s">
        <v>73</v>
      </c>
      <c r="H17" s="79"/>
      <c r="I17" s="81">
        <v>12</v>
      </c>
      <c r="J17" s="154"/>
      <c r="L17" s="202"/>
      <c r="M17" s="203"/>
      <c r="N17" s="203"/>
      <c r="O17" s="203"/>
      <c r="P17" s="203"/>
      <c r="Q17" s="203"/>
      <c r="R17" s="203"/>
      <c r="S17" s="203"/>
      <c r="T17" s="204"/>
      <c r="V17" s="202"/>
      <c r="W17" s="203"/>
      <c r="X17" s="203"/>
      <c r="Y17" s="203"/>
      <c r="Z17" s="203"/>
      <c r="AA17" s="203"/>
      <c r="AB17" s="203"/>
      <c r="AC17" s="203"/>
      <c r="AD17" s="204"/>
    </row>
    <row r="18" spans="2:30" ht="15.75" x14ac:dyDescent="0.3">
      <c r="B18" s="82" t="s">
        <v>91</v>
      </c>
      <c r="C18" s="13">
        <v>22</v>
      </c>
      <c r="D18" s="85">
        <v>21.305609676978836</v>
      </c>
      <c r="G18" s="82" t="s">
        <v>91</v>
      </c>
      <c r="H18" s="13">
        <v>22</v>
      </c>
      <c r="I18" s="85">
        <v>20.981455368489677</v>
      </c>
      <c r="L18" s="202"/>
      <c r="M18" s="203"/>
      <c r="N18" s="203"/>
      <c r="O18" s="203"/>
      <c r="P18" s="203"/>
      <c r="Q18" s="203"/>
      <c r="R18" s="203"/>
      <c r="S18" s="203"/>
      <c r="T18" s="204"/>
      <c r="V18" s="202"/>
      <c r="W18" s="203"/>
      <c r="X18" s="203"/>
      <c r="Y18" s="203"/>
      <c r="Z18" s="203"/>
      <c r="AA18" s="203"/>
      <c r="AB18" s="203"/>
      <c r="AC18" s="203"/>
      <c r="AD18" s="204"/>
    </row>
    <row r="19" spans="2:30" ht="15.75" thickBot="1" x14ac:dyDescent="0.3">
      <c r="B19" s="83" t="s">
        <v>14</v>
      </c>
      <c r="C19" s="84">
        <v>0.1</v>
      </c>
      <c r="D19" s="86">
        <v>0.75708640485110668</v>
      </c>
      <c r="G19" s="160" t="s">
        <v>14</v>
      </c>
      <c r="H19" s="155">
        <v>0.1</v>
      </c>
      <c r="I19" s="161">
        <v>0.71427147815304504</v>
      </c>
      <c r="L19" s="205"/>
      <c r="M19" s="206"/>
      <c r="N19" s="206"/>
      <c r="O19" s="206"/>
      <c r="P19" s="206"/>
      <c r="Q19" s="206"/>
      <c r="R19" s="206"/>
      <c r="S19" s="206"/>
      <c r="T19" s="207"/>
      <c r="V19" s="205"/>
      <c r="W19" s="206"/>
      <c r="X19" s="206"/>
      <c r="Y19" s="206"/>
      <c r="Z19" s="206"/>
      <c r="AA19" s="206"/>
      <c r="AB19" s="206"/>
      <c r="AC19" s="206"/>
      <c r="AD19" s="207"/>
    </row>
    <row r="20" spans="2:30" s="19" customFormat="1" ht="16.5" thickTop="1" thickBot="1" x14ac:dyDescent="0.3">
      <c r="B20" s="158"/>
      <c r="C20" s="18"/>
      <c r="D20" s="159"/>
      <c r="G20" s="158"/>
      <c r="H20" s="18"/>
      <c r="I20" s="159"/>
      <c r="L20" s="165"/>
      <c r="M20" s="165"/>
      <c r="N20" s="165"/>
      <c r="O20" s="165"/>
      <c r="P20" s="165"/>
      <c r="Q20" s="165"/>
      <c r="R20" s="165"/>
      <c r="S20" s="165"/>
      <c r="T20" s="165"/>
    </row>
    <row r="21" spans="2:30" s="19" customFormat="1" x14ac:dyDescent="0.25">
      <c r="B21" s="91" t="s">
        <v>132</v>
      </c>
      <c r="C21" s="18"/>
      <c r="D21" s="159"/>
      <c r="G21" s="156" t="s">
        <v>132</v>
      </c>
      <c r="H21" s="18"/>
      <c r="I21" s="159"/>
      <c r="L21" s="165"/>
      <c r="M21" s="165"/>
      <c r="N21" s="165"/>
      <c r="O21" s="165"/>
      <c r="P21" s="165"/>
      <c r="Q21" s="165"/>
      <c r="R21" s="165"/>
      <c r="S21" s="165"/>
      <c r="T21" s="165"/>
    </row>
    <row r="22" spans="2:30" s="19" customFormat="1" ht="15.75" thickBot="1" x14ac:dyDescent="0.3">
      <c r="B22" s="92">
        <f>SUM(E34:E53)</f>
        <v>3.2188847489740438E-3</v>
      </c>
      <c r="C22" s="18"/>
      <c r="D22" s="159"/>
      <c r="G22" s="157">
        <f>SUM(J34:J53)</f>
        <v>3.5868819444918611E-3</v>
      </c>
      <c r="H22" s="18"/>
      <c r="I22" s="159"/>
    </row>
    <row r="23" spans="2:30" s="19" customFormat="1" ht="15.75" thickBot="1" x14ac:dyDescent="0.3">
      <c r="B23" s="158"/>
      <c r="C23" s="18"/>
      <c r="D23" s="159"/>
      <c r="G23" s="158"/>
      <c r="H23" s="18"/>
      <c r="I23" s="159"/>
      <c r="W23"/>
    </row>
    <row r="24" spans="2:30" ht="15.75" thickTop="1" x14ac:dyDescent="0.25">
      <c r="B24" s="246" t="s">
        <v>2</v>
      </c>
      <c r="C24" s="247"/>
      <c r="D24" s="162"/>
      <c r="E24" s="163" t="s">
        <v>4</v>
      </c>
      <c r="G24" s="246" t="s">
        <v>2</v>
      </c>
      <c r="H24" s="247"/>
      <c r="I24" s="162"/>
      <c r="J24" s="163" t="s">
        <v>4</v>
      </c>
    </row>
    <row r="25" spans="2:30" x14ac:dyDescent="0.25">
      <c r="B25" s="242" t="s">
        <v>133</v>
      </c>
      <c r="C25" s="243"/>
      <c r="D25" s="11"/>
      <c r="E25" s="167">
        <f>D17/D18</f>
        <v>0.56323194604312377</v>
      </c>
      <c r="G25" s="242" t="s">
        <v>133</v>
      </c>
      <c r="H25" s="243"/>
      <c r="I25" s="11"/>
      <c r="J25" s="167">
        <f>I17/I18</f>
        <v>0.57193363326081825</v>
      </c>
    </row>
    <row r="26" spans="2:30" ht="18" x14ac:dyDescent="0.35">
      <c r="B26" s="242" t="s">
        <v>134</v>
      </c>
      <c r="C26" s="243"/>
      <c r="D26" s="166">
        <f>(1+EXP(-($D$19*(E26-$D$18))))^-1</f>
        <v>0.75000037631999605</v>
      </c>
      <c r="E26" s="167">
        <v>22.756717884271445</v>
      </c>
      <c r="G26" s="242" t="s">
        <v>134</v>
      </c>
      <c r="H26" s="243"/>
      <c r="I26" s="166">
        <f>(1+EXP(-($I$19*(J26-$I$18))))^-1</f>
        <v>0.75000062991855443</v>
      </c>
      <c r="J26" s="167">
        <v>22.519547931106544</v>
      </c>
    </row>
    <row r="27" spans="2:30" ht="18" x14ac:dyDescent="0.35">
      <c r="B27" s="242" t="s">
        <v>135</v>
      </c>
      <c r="C27" s="243"/>
      <c r="D27" s="166">
        <f>(1+EXP(-($D$19*(E27-$D$18))))^-1</f>
        <v>0.24999955518681513</v>
      </c>
      <c r="E27" s="167">
        <v>19.854500987181979</v>
      </c>
      <c r="G27" s="242" t="s">
        <v>135</v>
      </c>
      <c r="H27" s="243"/>
      <c r="I27" s="166">
        <f>(1+EXP(-($I$19*(J27-$I$18))))^-1</f>
        <v>0.2499994826075134</v>
      </c>
      <c r="J27" s="167">
        <v>19.44336364608548</v>
      </c>
    </row>
    <row r="28" spans="2:30" ht="15.75" thickBot="1" x14ac:dyDescent="0.3">
      <c r="B28" s="244" t="s">
        <v>136</v>
      </c>
      <c r="C28" s="245"/>
      <c r="D28" s="164"/>
      <c r="E28" s="168">
        <f>E26-E27</f>
        <v>2.9022168970894668</v>
      </c>
      <c r="G28" s="244" t="s">
        <v>136</v>
      </c>
      <c r="H28" s="245"/>
      <c r="I28" s="164"/>
      <c r="J28" s="168">
        <f>J26-J27</f>
        <v>3.0761842850210641</v>
      </c>
    </row>
    <row r="29" spans="2:30" ht="15.75" thickTop="1" x14ac:dyDescent="0.25"/>
    <row r="32" spans="2:30" x14ac:dyDescent="0.25">
      <c r="B32" s="240" t="s">
        <v>76</v>
      </c>
      <c r="C32" s="241"/>
      <c r="D32" s="210" t="s">
        <v>77</v>
      </c>
      <c r="E32" s="210"/>
      <c r="G32" s="240" t="s">
        <v>76</v>
      </c>
      <c r="H32" s="241"/>
      <c r="I32" s="210" t="s">
        <v>77</v>
      </c>
      <c r="J32" s="210"/>
    </row>
    <row r="33" spans="2:10" ht="18" x14ac:dyDescent="0.35">
      <c r="B33" s="100" t="s">
        <v>19</v>
      </c>
      <c r="C33" s="87" t="s">
        <v>129</v>
      </c>
      <c r="D33" s="95" t="s">
        <v>131</v>
      </c>
      <c r="E33" s="95" t="s">
        <v>10</v>
      </c>
      <c r="G33" s="100" t="s">
        <v>19</v>
      </c>
      <c r="H33" s="87" t="s">
        <v>130</v>
      </c>
      <c r="I33" s="95" t="s">
        <v>131</v>
      </c>
      <c r="J33" s="95" t="s">
        <v>10</v>
      </c>
    </row>
    <row r="34" spans="2:10" x14ac:dyDescent="0.25">
      <c r="B34">
        <v>10</v>
      </c>
      <c r="C34">
        <v>0</v>
      </c>
      <c r="D34">
        <f>(1+EXP(-($D$19*(B34-$D$18))))^-1</f>
        <v>1.9171222937596424E-4</v>
      </c>
      <c r="E34">
        <f t="shared" ref="E34:E53" si="0">(D34-C34)^2</f>
        <v>3.6753578892302323E-8</v>
      </c>
      <c r="G34">
        <v>10</v>
      </c>
      <c r="H34">
        <v>0</v>
      </c>
      <c r="I34">
        <f t="shared" ref="I34:I53" si="1">(1+EXP(-($I$19*(B34-$I$18))))^-1</f>
        <v>3.9204556771431039E-4</v>
      </c>
      <c r="J34">
        <f t="shared" ref="J34:J53" si="2">(I34-H34)^2</f>
        <v>1.5369972716443593E-7</v>
      </c>
    </row>
    <row r="35" spans="2:10" x14ac:dyDescent="0.25">
      <c r="B35">
        <v>11</v>
      </c>
      <c r="C35">
        <v>0</v>
      </c>
      <c r="D35">
        <f t="shared" ref="D35:D53" si="3">(1+EXP(-($D$19*(B35-$D$18))))^-1</f>
        <v>4.0865236934688941E-4</v>
      </c>
      <c r="E35">
        <f t="shared" si="0"/>
        <v>1.6699675897282652E-7</v>
      </c>
      <c r="G35">
        <v>11</v>
      </c>
      <c r="H35">
        <v>0</v>
      </c>
      <c r="I35">
        <f t="shared" si="1"/>
        <v>8.0050345922775472E-4</v>
      </c>
      <c r="J35">
        <f t="shared" si="2"/>
        <v>6.4080578823560158E-7</v>
      </c>
    </row>
    <row r="36" spans="2:10" x14ac:dyDescent="0.25">
      <c r="B36">
        <v>12</v>
      </c>
      <c r="C36">
        <v>0</v>
      </c>
      <c r="D36">
        <f t="shared" si="3"/>
        <v>8.7086653806206732E-4</v>
      </c>
      <c r="E36">
        <f t="shared" si="0"/>
        <v>7.584085271162102E-7</v>
      </c>
      <c r="G36">
        <v>12</v>
      </c>
      <c r="H36">
        <v>0</v>
      </c>
      <c r="I36">
        <f t="shared" si="1"/>
        <v>1.6338230821841232E-3</v>
      </c>
      <c r="J36">
        <f t="shared" si="2"/>
        <v>2.6693778638776283E-6</v>
      </c>
    </row>
    <row r="37" spans="2:10" x14ac:dyDescent="0.25">
      <c r="B37">
        <v>13</v>
      </c>
      <c r="C37">
        <v>0</v>
      </c>
      <c r="D37">
        <f t="shared" si="3"/>
        <v>1.854906850104581E-3</v>
      </c>
      <c r="E37">
        <f t="shared" si="0"/>
        <v>3.4406794225648986E-6</v>
      </c>
      <c r="G37">
        <v>13</v>
      </c>
      <c r="H37">
        <v>0</v>
      </c>
      <c r="I37">
        <f t="shared" si="1"/>
        <v>3.3317312417130507E-3</v>
      </c>
      <c r="J37">
        <f t="shared" si="2"/>
        <v>1.1100433067006788E-5</v>
      </c>
    </row>
    <row r="38" spans="2:10" x14ac:dyDescent="0.25">
      <c r="B38">
        <v>14</v>
      </c>
      <c r="C38">
        <v>0</v>
      </c>
      <c r="D38">
        <f t="shared" si="3"/>
        <v>3.9464767889211237E-3</v>
      </c>
      <c r="E38">
        <f t="shared" si="0"/>
        <v>1.5574679045493185E-5</v>
      </c>
      <c r="G38">
        <v>14</v>
      </c>
      <c r="H38">
        <v>0</v>
      </c>
      <c r="I38">
        <f t="shared" si="1"/>
        <v>6.7821595595806946E-3</v>
      </c>
      <c r="J38">
        <f t="shared" si="2"/>
        <v>4.5997688291611803E-5</v>
      </c>
    </row>
    <row r="39" spans="2:10" x14ac:dyDescent="0.25">
      <c r="B39">
        <v>15</v>
      </c>
      <c r="C39" s="1">
        <v>0.01</v>
      </c>
      <c r="D39">
        <f t="shared" si="3"/>
        <v>8.3766825092685057E-3</v>
      </c>
      <c r="E39">
        <f t="shared" si="0"/>
        <v>2.6351596757147956E-6</v>
      </c>
      <c r="G39">
        <v>15</v>
      </c>
      <c r="H39">
        <v>0</v>
      </c>
      <c r="I39">
        <f t="shared" si="1"/>
        <v>1.3756620400101137E-2</v>
      </c>
      <c r="J39">
        <f t="shared" si="2"/>
        <v>1.8924460483247876E-4</v>
      </c>
    </row>
    <row r="40" spans="2:10" x14ac:dyDescent="0.25">
      <c r="B40">
        <v>16</v>
      </c>
      <c r="C40" s="1">
        <v>0.02</v>
      </c>
      <c r="D40">
        <f t="shared" si="3"/>
        <v>1.769178083321549E-2</v>
      </c>
      <c r="E40">
        <f t="shared" si="0"/>
        <v>5.3278757219113776E-6</v>
      </c>
      <c r="G40">
        <v>16</v>
      </c>
      <c r="H40" s="1">
        <v>0.01</v>
      </c>
      <c r="I40">
        <f t="shared" si="1"/>
        <v>2.7703245474386646E-2</v>
      </c>
      <c r="J40">
        <f t="shared" si="2"/>
        <v>3.1340490032639133E-4</v>
      </c>
    </row>
    <row r="41" spans="2:10" x14ac:dyDescent="0.25">
      <c r="B41">
        <v>17</v>
      </c>
      <c r="C41" s="1">
        <v>0.05</v>
      </c>
      <c r="D41">
        <f t="shared" si="3"/>
        <v>3.6979230885660991E-2</v>
      </c>
      <c r="E41">
        <f t="shared" si="0"/>
        <v>1.6954042832892474E-4</v>
      </c>
      <c r="G41">
        <v>17</v>
      </c>
      <c r="H41" s="1">
        <v>0.06</v>
      </c>
      <c r="I41">
        <f t="shared" si="1"/>
        <v>5.5000609722415938E-2</v>
      </c>
      <c r="J41">
        <f t="shared" si="2"/>
        <v>2.4993903147602016E-5</v>
      </c>
    </row>
    <row r="42" spans="2:10" x14ac:dyDescent="0.25">
      <c r="B42">
        <v>18</v>
      </c>
      <c r="C42" s="1">
        <v>0.09</v>
      </c>
      <c r="D42">
        <f t="shared" si="3"/>
        <v>7.5673862670099235E-2</v>
      </c>
      <c r="E42">
        <f t="shared" si="0"/>
        <v>2.0523821079517613E-4</v>
      </c>
      <c r="G42">
        <v>18</v>
      </c>
      <c r="H42" s="1">
        <v>0.1</v>
      </c>
      <c r="I42">
        <f t="shared" si="1"/>
        <v>0.1062559592409496</v>
      </c>
      <c r="J42">
        <f t="shared" si="2"/>
        <v>3.9137026024422683E-5</v>
      </c>
    </row>
    <row r="43" spans="2:10" x14ac:dyDescent="0.25">
      <c r="B43">
        <v>19</v>
      </c>
      <c r="C43" s="1">
        <v>0.15</v>
      </c>
      <c r="D43">
        <f t="shared" si="3"/>
        <v>0.14860989142383446</v>
      </c>
      <c r="E43">
        <f t="shared" si="0"/>
        <v>1.9324018535289655E-6</v>
      </c>
      <c r="G43">
        <v>19</v>
      </c>
      <c r="H43" s="1">
        <v>0.22</v>
      </c>
      <c r="I43">
        <f t="shared" si="1"/>
        <v>0.19539991588189673</v>
      </c>
      <c r="J43">
        <f t="shared" si="2"/>
        <v>6.0516413861775686E-4</v>
      </c>
    </row>
    <row r="44" spans="2:10" x14ac:dyDescent="0.25">
      <c r="B44">
        <v>20</v>
      </c>
      <c r="C44" s="1">
        <v>0.25</v>
      </c>
      <c r="D44">
        <f t="shared" si="3"/>
        <v>0.2712164949255555</v>
      </c>
      <c r="E44">
        <f t="shared" si="0"/>
        <v>4.5013965692612212E-4</v>
      </c>
      <c r="G44">
        <v>20</v>
      </c>
      <c r="H44" s="1">
        <v>0.3</v>
      </c>
      <c r="I44">
        <f t="shared" si="1"/>
        <v>0.3315848834888499</v>
      </c>
      <c r="J44">
        <f t="shared" si="2"/>
        <v>9.9760486500422387E-4</v>
      </c>
    </row>
    <row r="45" spans="2:10" x14ac:dyDescent="0.25">
      <c r="B45">
        <v>21</v>
      </c>
      <c r="C45" s="1">
        <v>0.47</v>
      </c>
      <c r="D45">
        <f t="shared" si="3"/>
        <v>0.44241343870018568</v>
      </c>
      <c r="E45">
        <f t="shared" si="0"/>
        <v>7.6101836434841171E-4</v>
      </c>
      <c r="G45">
        <v>21</v>
      </c>
      <c r="H45" s="1">
        <v>0.51</v>
      </c>
      <c r="I45">
        <f t="shared" si="1"/>
        <v>0.50331142692341402</v>
      </c>
      <c r="J45">
        <f t="shared" si="2"/>
        <v>4.4737009800830986E-5</v>
      </c>
    </row>
    <row r="46" spans="2:10" x14ac:dyDescent="0.25">
      <c r="B46">
        <v>22</v>
      </c>
      <c r="C46" s="1">
        <v>0.6</v>
      </c>
      <c r="D46">
        <f t="shared" si="3"/>
        <v>0.62848279397231543</v>
      </c>
      <c r="E46">
        <f t="shared" si="0"/>
        <v>8.1126955246936972E-4</v>
      </c>
      <c r="G46">
        <v>22</v>
      </c>
      <c r="H46" s="1">
        <v>0.7</v>
      </c>
      <c r="I46">
        <f t="shared" si="1"/>
        <v>0.67426024235564053</v>
      </c>
      <c r="J46">
        <f t="shared" si="2"/>
        <v>6.6253512359035964E-4</v>
      </c>
    </row>
    <row r="47" spans="2:10" x14ac:dyDescent="0.25">
      <c r="B47">
        <v>23</v>
      </c>
      <c r="C47" s="1">
        <v>0.78</v>
      </c>
      <c r="D47">
        <f t="shared" si="3"/>
        <v>0.78292600069353291</v>
      </c>
      <c r="E47">
        <f t="shared" si="0"/>
        <v>8.5614800585549061E-6</v>
      </c>
      <c r="G47">
        <v>23</v>
      </c>
      <c r="H47" s="1">
        <v>0.8</v>
      </c>
      <c r="I47">
        <f t="shared" si="1"/>
        <v>0.80873151345366012</v>
      </c>
      <c r="J47">
        <f t="shared" si="2"/>
        <v>7.623932719144695E-5</v>
      </c>
    </row>
    <row r="48" spans="2:10" x14ac:dyDescent="0.25">
      <c r="B48">
        <v>24</v>
      </c>
      <c r="C48" s="1">
        <v>0.91</v>
      </c>
      <c r="D48">
        <f t="shared" si="3"/>
        <v>0.88492168804923133</v>
      </c>
      <c r="E48">
        <f t="shared" si="0"/>
        <v>6.2892173030006852E-4</v>
      </c>
      <c r="G48">
        <v>24</v>
      </c>
      <c r="H48" s="1">
        <v>0.89</v>
      </c>
      <c r="I48">
        <f t="shared" si="1"/>
        <v>0.89623373591294342</v>
      </c>
      <c r="J48">
        <f t="shared" si="2"/>
        <v>3.8859463432320353E-5</v>
      </c>
    </row>
    <row r="49" spans="2:10" x14ac:dyDescent="0.25">
      <c r="B49">
        <v>25</v>
      </c>
      <c r="C49" s="1">
        <v>0.95</v>
      </c>
      <c r="D49">
        <f t="shared" si="3"/>
        <v>0.9425120144564566</v>
      </c>
      <c r="E49">
        <f t="shared" si="0"/>
        <v>5.6069927500314224E-5</v>
      </c>
      <c r="G49">
        <v>25</v>
      </c>
      <c r="H49" s="1">
        <v>0.93</v>
      </c>
      <c r="I49">
        <f t="shared" si="1"/>
        <v>0.94636019422009621</v>
      </c>
      <c r="J49">
        <f t="shared" si="2"/>
        <v>2.6765595491926774E-4</v>
      </c>
    </row>
    <row r="50" spans="2:10" x14ac:dyDescent="0.25">
      <c r="B50">
        <v>26</v>
      </c>
      <c r="C50" s="1">
        <v>0.97</v>
      </c>
      <c r="D50">
        <f t="shared" si="3"/>
        <v>0.9721873909099642</v>
      </c>
      <c r="E50">
        <f t="shared" si="0"/>
        <v>4.7846789929941263E-6</v>
      </c>
      <c r="G50">
        <v>26</v>
      </c>
      <c r="H50" s="1">
        <v>0.96</v>
      </c>
      <c r="I50">
        <f t="shared" si="1"/>
        <v>0.97300147313205732</v>
      </c>
      <c r="J50">
        <f t="shared" si="2"/>
        <v>1.6903830360360918E-4</v>
      </c>
    </row>
    <row r="51" spans="2:10" x14ac:dyDescent="0.25">
      <c r="B51">
        <v>27</v>
      </c>
      <c r="C51" s="1">
        <v>0.98</v>
      </c>
      <c r="D51">
        <f t="shared" si="3"/>
        <v>0.98675949306969191</v>
      </c>
      <c r="E51">
        <f t="shared" si="0"/>
        <v>4.5690746559213149E-5</v>
      </c>
      <c r="G51">
        <v>27</v>
      </c>
      <c r="H51" s="1">
        <v>0.98</v>
      </c>
      <c r="I51">
        <f t="shared" si="1"/>
        <v>0.98659821232601774</v>
      </c>
      <c r="J51">
        <f t="shared" si="2"/>
        <v>4.3536405899212703E-5</v>
      </c>
    </row>
    <row r="52" spans="2:10" x14ac:dyDescent="0.25">
      <c r="B52">
        <v>28</v>
      </c>
      <c r="C52">
        <v>1</v>
      </c>
      <c r="D52">
        <f t="shared" si="3"/>
        <v>0.99374582300098702</v>
      </c>
      <c r="E52">
        <f t="shared" si="0"/>
        <v>3.9114729934983047E-5</v>
      </c>
      <c r="G52">
        <v>28</v>
      </c>
      <c r="H52">
        <v>1</v>
      </c>
      <c r="I52">
        <f t="shared" si="1"/>
        <v>0.99339398170810733</v>
      </c>
      <c r="J52">
        <f t="shared" si="2"/>
        <v>4.3639477672820521E-5</v>
      </c>
    </row>
    <row r="53" spans="2:10" x14ac:dyDescent="0.25">
      <c r="B53">
        <v>29</v>
      </c>
      <c r="C53">
        <v>1</v>
      </c>
      <c r="D53">
        <f t="shared" si="3"/>
        <v>0.99705682345488467</v>
      </c>
      <c r="E53">
        <f t="shared" si="0"/>
        <v>8.6622881757170312E-6</v>
      </c>
      <c r="G53">
        <v>29</v>
      </c>
      <c r="H53">
        <v>1</v>
      </c>
      <c r="I53">
        <f t="shared" si="1"/>
        <v>0.99675509080385571</v>
      </c>
      <c r="J53">
        <f t="shared" si="2"/>
        <v>1.0529435691221754E-5</v>
      </c>
    </row>
    <row r="58" spans="2:10" x14ac:dyDescent="0.25">
      <c r="G58" s="19"/>
      <c r="H58" s="19"/>
      <c r="I58" s="19"/>
    </row>
  </sheetData>
  <mergeCells count="19">
    <mergeCell ref="V2:AD19"/>
    <mergeCell ref="B2:J12"/>
    <mergeCell ref="L2:T19"/>
    <mergeCell ref="B32:C32"/>
    <mergeCell ref="D32:E32"/>
    <mergeCell ref="I32:J32"/>
    <mergeCell ref="B15:D15"/>
    <mergeCell ref="G15:I15"/>
    <mergeCell ref="G32:H32"/>
    <mergeCell ref="B25:C25"/>
    <mergeCell ref="G25:H25"/>
    <mergeCell ref="B28:C28"/>
    <mergeCell ref="G28:H28"/>
    <mergeCell ref="B26:C26"/>
    <mergeCell ref="B27:C27"/>
    <mergeCell ref="G26:H26"/>
    <mergeCell ref="G27:H27"/>
    <mergeCell ref="B24:C24"/>
    <mergeCell ref="G24:H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54"/>
  <sheetViews>
    <sheetView workbookViewId="0">
      <selection activeCell="G25" sqref="G25"/>
    </sheetView>
  </sheetViews>
  <sheetFormatPr defaultRowHeight="15" x14ac:dyDescent="0.25"/>
  <cols>
    <col min="2" max="2" width="6.5703125" bestFit="1" customWidth="1"/>
    <col min="3" max="3" width="12.140625" bestFit="1" customWidth="1"/>
    <col min="4" max="6" width="12" bestFit="1" customWidth="1"/>
    <col min="16" max="16" width="12.85546875" customWidth="1"/>
  </cols>
  <sheetData>
    <row r="1" spans="2:26" ht="15.75" thickBot="1" x14ac:dyDescent="0.3"/>
    <row r="2" spans="2:26" ht="15" customHeight="1" x14ac:dyDescent="0.25">
      <c r="B2" s="219" t="s">
        <v>145</v>
      </c>
      <c r="C2" s="215"/>
      <c r="D2" s="215"/>
      <c r="E2" s="215"/>
      <c r="F2" s="220"/>
      <c r="H2" s="199" t="s">
        <v>146</v>
      </c>
      <c r="I2" s="200"/>
      <c r="J2" s="200"/>
      <c r="K2" s="200"/>
      <c r="L2" s="200"/>
      <c r="M2" s="200"/>
      <c r="N2" s="200"/>
      <c r="O2" s="200"/>
      <c r="P2" s="201"/>
      <c r="R2" s="19"/>
      <c r="S2" s="19"/>
      <c r="T2" s="19"/>
      <c r="U2" s="19"/>
      <c r="V2" s="19"/>
      <c r="W2" s="19"/>
      <c r="X2" s="19"/>
      <c r="Y2" s="19"/>
      <c r="Z2" s="19"/>
    </row>
    <row r="3" spans="2:26" x14ac:dyDescent="0.25">
      <c r="B3" s="221"/>
      <c r="C3" s="216"/>
      <c r="D3" s="216"/>
      <c r="E3" s="216"/>
      <c r="F3" s="222"/>
      <c r="H3" s="202"/>
      <c r="I3" s="203"/>
      <c r="J3" s="203"/>
      <c r="K3" s="203"/>
      <c r="L3" s="203"/>
      <c r="M3" s="203"/>
      <c r="N3" s="203"/>
      <c r="O3" s="203"/>
      <c r="P3" s="204"/>
      <c r="R3" s="19"/>
      <c r="S3" s="19"/>
      <c r="T3" s="19"/>
      <c r="U3" s="19"/>
      <c r="V3" s="19"/>
      <c r="W3" s="19"/>
      <c r="X3" s="19"/>
      <c r="Y3" s="19"/>
      <c r="Z3" s="19"/>
    </row>
    <row r="4" spans="2:26" x14ac:dyDescent="0.25">
      <c r="B4" s="221"/>
      <c r="C4" s="216"/>
      <c r="D4" s="216"/>
      <c r="E4" s="216"/>
      <c r="F4" s="222"/>
      <c r="H4" s="202"/>
      <c r="I4" s="203"/>
      <c r="J4" s="203"/>
      <c r="K4" s="203"/>
      <c r="L4" s="203"/>
      <c r="M4" s="203"/>
      <c r="N4" s="203"/>
      <c r="O4" s="203"/>
      <c r="P4" s="204"/>
      <c r="R4" s="19"/>
      <c r="S4" s="19"/>
      <c r="T4" s="19"/>
      <c r="U4" s="19"/>
      <c r="V4" s="19"/>
      <c r="W4" s="19"/>
      <c r="X4" s="19"/>
      <c r="Y4" s="19"/>
      <c r="Z4" s="19"/>
    </row>
    <row r="5" spans="2:26" x14ac:dyDescent="0.25">
      <c r="B5" s="221"/>
      <c r="C5" s="216"/>
      <c r="D5" s="216"/>
      <c r="E5" s="216"/>
      <c r="F5" s="222"/>
      <c r="H5" s="202"/>
      <c r="I5" s="203"/>
      <c r="J5" s="203"/>
      <c r="K5" s="203"/>
      <c r="L5" s="203"/>
      <c r="M5" s="203"/>
      <c r="N5" s="203"/>
      <c r="O5" s="203"/>
      <c r="P5" s="204"/>
      <c r="R5" s="19"/>
      <c r="T5" s="19"/>
      <c r="U5" s="19"/>
      <c r="V5" s="19"/>
      <c r="W5" s="19"/>
      <c r="X5" s="19"/>
      <c r="Y5" s="19"/>
      <c r="Z5" s="19"/>
    </row>
    <row r="6" spans="2:26" x14ac:dyDescent="0.25">
      <c r="B6" s="221"/>
      <c r="C6" s="216"/>
      <c r="D6" s="216"/>
      <c r="E6" s="216"/>
      <c r="F6" s="222"/>
      <c r="H6" s="202"/>
      <c r="I6" s="203"/>
      <c r="J6" s="203"/>
      <c r="K6" s="203"/>
      <c r="L6" s="203"/>
      <c r="M6" s="203"/>
      <c r="N6" s="203"/>
      <c r="O6" s="203"/>
      <c r="P6" s="204"/>
    </row>
    <row r="7" spans="2:26" ht="15.75" thickBot="1" x14ac:dyDescent="0.3">
      <c r="B7" s="221"/>
      <c r="C7" s="216"/>
      <c r="D7" s="216"/>
      <c r="E7" s="216"/>
      <c r="F7" s="222"/>
      <c r="H7" s="205"/>
      <c r="I7" s="206"/>
      <c r="J7" s="206"/>
      <c r="K7" s="206"/>
      <c r="L7" s="206"/>
      <c r="M7" s="206"/>
      <c r="N7" s="206"/>
      <c r="O7" s="206"/>
      <c r="P7" s="207"/>
    </row>
    <row r="8" spans="2:26" x14ac:dyDescent="0.25">
      <c r="B8" s="221"/>
      <c r="C8" s="216"/>
      <c r="D8" s="216"/>
      <c r="E8" s="216"/>
      <c r="F8" s="222"/>
      <c r="H8" s="165"/>
      <c r="I8" s="165"/>
      <c r="J8" s="165"/>
      <c r="K8" s="165"/>
      <c r="L8" s="165"/>
      <c r="M8" s="165"/>
      <c r="N8" s="165"/>
      <c r="O8" s="165"/>
      <c r="P8" s="165"/>
    </row>
    <row r="9" spans="2:26" ht="15.75" thickBot="1" x14ac:dyDescent="0.3">
      <c r="B9" s="223"/>
      <c r="C9" s="224"/>
      <c r="D9" s="224"/>
      <c r="E9" s="224"/>
      <c r="F9" s="225"/>
      <c r="H9" s="165"/>
      <c r="I9" s="165"/>
      <c r="J9" s="165"/>
      <c r="K9" s="165"/>
      <c r="L9" s="165"/>
      <c r="M9" s="165"/>
      <c r="N9" s="165"/>
      <c r="O9" s="165"/>
      <c r="P9" s="165"/>
    </row>
    <row r="10" spans="2:26" x14ac:dyDescent="0.25">
      <c r="B10" s="169"/>
      <c r="C10" s="169"/>
      <c r="D10" s="169"/>
      <c r="E10" s="169"/>
      <c r="F10" s="169"/>
      <c r="H10" s="165"/>
      <c r="I10" s="165"/>
      <c r="J10" s="165"/>
      <c r="K10" s="165"/>
      <c r="L10" s="165"/>
      <c r="M10" s="165"/>
      <c r="N10" s="165"/>
      <c r="O10" s="165"/>
      <c r="P10" s="165"/>
    </row>
    <row r="11" spans="2:26" ht="15.75" thickBot="1" x14ac:dyDescent="0.3">
      <c r="H11" s="165"/>
      <c r="I11" s="165"/>
      <c r="J11" s="165"/>
      <c r="K11" s="165"/>
      <c r="L11" s="165"/>
      <c r="M11" s="165"/>
      <c r="N11" s="165"/>
      <c r="O11" s="165"/>
      <c r="P11" s="165"/>
    </row>
    <row r="12" spans="2:26" ht="15.75" customHeight="1" thickTop="1" thickBot="1" x14ac:dyDescent="0.3">
      <c r="B12" s="253" t="s">
        <v>2</v>
      </c>
      <c r="C12" s="254"/>
      <c r="D12" s="173" t="s">
        <v>141</v>
      </c>
      <c r="E12" s="174" t="s">
        <v>142</v>
      </c>
      <c r="F12" s="18"/>
      <c r="H12" s="165"/>
      <c r="I12" s="165"/>
      <c r="J12" s="165"/>
      <c r="K12" s="165"/>
      <c r="L12" s="165"/>
      <c r="M12" s="165"/>
      <c r="N12" s="165"/>
      <c r="O12" s="165"/>
      <c r="P12" s="165"/>
    </row>
    <row r="13" spans="2:26" ht="15.75" thickBot="1" x14ac:dyDescent="0.3">
      <c r="B13" s="248" t="s">
        <v>73</v>
      </c>
      <c r="C13" s="249"/>
      <c r="D13" s="171">
        <v>12</v>
      </c>
      <c r="E13" s="182">
        <v>16</v>
      </c>
      <c r="F13" s="18"/>
      <c r="H13" s="165"/>
      <c r="I13" s="165"/>
      <c r="J13" s="165"/>
      <c r="K13" s="165"/>
      <c r="L13" s="165"/>
      <c r="M13" s="165"/>
      <c r="N13" s="165"/>
      <c r="O13" s="165"/>
      <c r="P13" s="165"/>
    </row>
    <row r="14" spans="2:26" x14ac:dyDescent="0.25">
      <c r="B14" s="248" t="s">
        <v>14</v>
      </c>
      <c r="C14" s="249"/>
      <c r="D14" s="170">
        <v>0.75708640485110668</v>
      </c>
      <c r="E14" s="175">
        <v>0.75708640485110668</v>
      </c>
      <c r="F14" s="18"/>
      <c r="H14" s="165"/>
      <c r="I14" s="165"/>
      <c r="J14" s="165"/>
      <c r="K14" s="165"/>
      <c r="L14" s="165"/>
      <c r="M14" s="165"/>
      <c r="N14" s="165"/>
      <c r="O14" s="165"/>
      <c r="P14" s="165"/>
    </row>
    <row r="15" spans="2:26" ht="15.75" x14ac:dyDescent="0.3">
      <c r="B15" s="248" t="s">
        <v>91</v>
      </c>
      <c r="C15" s="249"/>
      <c r="D15" s="176">
        <v>21.305609676978836</v>
      </c>
      <c r="E15" s="177">
        <f>E13*D15/D13</f>
        <v>28.407479569305114</v>
      </c>
      <c r="F15" s="18"/>
      <c r="H15" s="165"/>
      <c r="I15" s="165"/>
      <c r="J15" s="165"/>
      <c r="K15" s="165"/>
      <c r="L15" s="165"/>
      <c r="M15" s="165"/>
      <c r="N15" s="165"/>
      <c r="O15" s="165"/>
      <c r="P15" s="165"/>
    </row>
    <row r="16" spans="2:26" x14ac:dyDescent="0.25">
      <c r="B16" s="248" t="s">
        <v>133</v>
      </c>
      <c r="C16" s="249"/>
      <c r="D16" s="172">
        <v>0.56323194604312377</v>
      </c>
      <c r="E16" s="178">
        <f>E15/E13</f>
        <v>1.7754674730815696</v>
      </c>
      <c r="F16" s="18"/>
      <c r="H16" s="165"/>
      <c r="I16" s="165"/>
      <c r="J16" s="165"/>
      <c r="K16" s="165"/>
      <c r="L16" s="165"/>
      <c r="M16" s="165"/>
      <c r="N16" s="165"/>
      <c r="O16" s="165"/>
      <c r="P16" s="165"/>
    </row>
    <row r="17" spans="2:26" s="19" customFormat="1" ht="18" x14ac:dyDescent="0.35">
      <c r="B17" s="248" t="s">
        <v>134</v>
      </c>
      <c r="C17" s="249"/>
      <c r="D17" s="172">
        <v>22.756717884271445</v>
      </c>
      <c r="E17" s="178">
        <f>D17*E15/D15</f>
        <v>30.342290512361924</v>
      </c>
      <c r="F17" s="18"/>
      <c r="H17" s="165"/>
      <c r="I17" s="165"/>
      <c r="J17" s="165"/>
      <c r="K17" s="165"/>
      <c r="L17" s="165"/>
      <c r="M17" s="165"/>
      <c r="N17" s="165"/>
      <c r="O17" s="165"/>
      <c r="P17" s="165"/>
      <c r="R17"/>
      <c r="S17"/>
      <c r="T17"/>
      <c r="U17"/>
      <c r="V17"/>
      <c r="W17"/>
      <c r="X17"/>
      <c r="Y17"/>
      <c r="Z17"/>
    </row>
    <row r="18" spans="2:26" s="19" customFormat="1" ht="18" x14ac:dyDescent="0.35">
      <c r="B18" s="248" t="s">
        <v>135</v>
      </c>
      <c r="C18" s="249"/>
      <c r="D18" s="172">
        <v>19.854500987181979</v>
      </c>
      <c r="E18" s="178">
        <f>D18*E15/D15</f>
        <v>26.472667982909304</v>
      </c>
      <c r="F18" s="18"/>
      <c r="H18" s="165"/>
      <c r="I18" s="165"/>
      <c r="J18" s="165"/>
      <c r="K18" s="165"/>
      <c r="L18" s="165"/>
      <c r="M18" s="165"/>
      <c r="N18" s="165"/>
      <c r="O18" s="165"/>
      <c r="P18" s="165"/>
      <c r="R18"/>
      <c r="S18"/>
      <c r="T18"/>
      <c r="U18"/>
      <c r="V18"/>
      <c r="W18"/>
      <c r="X18"/>
      <c r="Y18"/>
      <c r="Z18"/>
    </row>
    <row r="19" spans="2:26" s="19" customFormat="1" ht="15.75" thickBot="1" x14ac:dyDescent="0.3">
      <c r="B19" s="250" t="s">
        <v>136</v>
      </c>
      <c r="C19" s="251"/>
      <c r="D19" s="179">
        <v>2.9022168970894668</v>
      </c>
      <c r="E19" s="180">
        <f>E17-E18</f>
        <v>3.8696225294526201</v>
      </c>
      <c r="F19" s="18"/>
      <c r="R19"/>
      <c r="S19"/>
      <c r="T19"/>
      <c r="U19"/>
      <c r="V19"/>
      <c r="W19"/>
      <c r="X19"/>
      <c r="Y19"/>
      <c r="Z19"/>
    </row>
    <row r="20" spans="2:26" s="19" customFormat="1" ht="15.75" thickTop="1" x14ac:dyDescent="0.25">
      <c r="B20" s="158"/>
      <c r="C20" s="18"/>
      <c r="D20" s="159"/>
      <c r="E20" s="18"/>
      <c r="F20" s="18"/>
      <c r="R20"/>
      <c r="S20"/>
      <c r="T20"/>
      <c r="U20"/>
      <c r="V20"/>
      <c r="W20"/>
      <c r="X20"/>
      <c r="Y20"/>
      <c r="Z20"/>
    </row>
    <row r="21" spans="2:26" x14ac:dyDescent="0.25">
      <c r="B21" s="240" t="s">
        <v>76</v>
      </c>
      <c r="C21" s="241"/>
      <c r="D21" s="210" t="s">
        <v>143</v>
      </c>
      <c r="E21" s="252"/>
      <c r="F21" s="4"/>
    </row>
    <row r="22" spans="2:26" x14ac:dyDescent="0.25">
      <c r="B22" s="100" t="s">
        <v>19</v>
      </c>
      <c r="C22" s="87" t="s">
        <v>144</v>
      </c>
      <c r="D22" s="95" t="s">
        <v>141</v>
      </c>
      <c r="E22" s="181" t="s">
        <v>142</v>
      </c>
      <c r="F22" s="18"/>
    </row>
    <row r="23" spans="2:26" x14ac:dyDescent="0.25">
      <c r="B23">
        <v>10</v>
      </c>
      <c r="C23">
        <v>0</v>
      </c>
      <c r="D23">
        <f>(1+EXP(-($D$14*(B23-$D$15))))^-1</f>
        <v>1.9171222937596424E-4</v>
      </c>
      <c r="E23">
        <f>(1+EXP(-($E$14*(B23-$E$15))))^-1</f>
        <v>8.8643909555054488E-7</v>
      </c>
    </row>
    <row r="24" spans="2:26" x14ac:dyDescent="0.25">
      <c r="B24">
        <v>11</v>
      </c>
      <c r="C24">
        <v>0</v>
      </c>
      <c r="D24">
        <f t="shared" ref="D24:D54" si="0">(1+EXP(-($D$14*(B24-$D$15))))^-1</f>
        <v>4.0865236934688941E-4</v>
      </c>
      <c r="E24">
        <f t="shared" ref="E24:E54" si="1">(1+EXP(-($E$14*(B24-$E$15))))^-1</f>
        <v>1.889935201159458E-6</v>
      </c>
    </row>
    <row r="25" spans="2:26" x14ac:dyDescent="0.25">
      <c r="B25">
        <v>12</v>
      </c>
      <c r="C25">
        <v>0</v>
      </c>
      <c r="D25">
        <f t="shared" si="0"/>
        <v>8.7086653806206732E-4</v>
      </c>
      <c r="E25">
        <f t="shared" si="1"/>
        <v>4.0294375832985405E-6</v>
      </c>
    </row>
    <row r="26" spans="2:26" x14ac:dyDescent="0.25">
      <c r="B26">
        <v>13</v>
      </c>
      <c r="C26">
        <v>0</v>
      </c>
      <c r="D26">
        <f t="shared" si="0"/>
        <v>1.854906850104581E-3</v>
      </c>
      <c r="E26">
        <f t="shared" si="1"/>
        <v>8.5909442307177155E-6</v>
      </c>
    </row>
    <row r="27" spans="2:26" x14ac:dyDescent="0.25">
      <c r="B27">
        <v>14</v>
      </c>
      <c r="C27">
        <v>0</v>
      </c>
      <c r="D27">
        <f t="shared" si="0"/>
        <v>3.9464767889211237E-3</v>
      </c>
      <c r="E27">
        <f t="shared" si="1"/>
        <v>1.8316189328367195E-5</v>
      </c>
    </row>
    <row r="28" spans="2:26" x14ac:dyDescent="0.25">
      <c r="B28">
        <v>15</v>
      </c>
      <c r="C28" s="1">
        <v>0.01</v>
      </c>
      <c r="D28">
        <f t="shared" si="0"/>
        <v>8.3766825092685057E-3</v>
      </c>
      <c r="E28">
        <f t="shared" si="1"/>
        <v>3.905031729655514E-5</v>
      </c>
    </row>
    <row r="29" spans="2:26" x14ac:dyDescent="0.25">
      <c r="B29">
        <v>16</v>
      </c>
      <c r="C29" s="1">
        <v>0.02</v>
      </c>
      <c r="D29">
        <f t="shared" si="0"/>
        <v>1.769178083321549E-2</v>
      </c>
      <c r="E29">
        <f t="shared" si="1"/>
        <v>8.3253752286675361E-5</v>
      </c>
    </row>
    <row r="30" spans="2:26" x14ac:dyDescent="0.25">
      <c r="B30">
        <v>17</v>
      </c>
      <c r="C30" s="1">
        <v>0.05</v>
      </c>
      <c r="D30">
        <f t="shared" si="0"/>
        <v>3.6979230885660991E-2</v>
      </c>
      <c r="E30">
        <f t="shared" si="1"/>
        <v>1.7748486928283058E-4</v>
      </c>
    </row>
    <row r="31" spans="2:26" x14ac:dyDescent="0.25">
      <c r="B31">
        <v>18</v>
      </c>
      <c r="C31" s="1">
        <v>0.09</v>
      </c>
      <c r="D31">
        <f t="shared" si="0"/>
        <v>7.5673862670099235E-2</v>
      </c>
      <c r="E31">
        <f t="shared" si="1"/>
        <v>3.7833152600863105E-4</v>
      </c>
    </row>
    <row r="32" spans="2:26" x14ac:dyDescent="0.25">
      <c r="B32">
        <v>19</v>
      </c>
      <c r="C32" s="1">
        <v>0.15</v>
      </c>
      <c r="D32">
        <f t="shared" si="0"/>
        <v>0.14860989142383446</v>
      </c>
      <c r="E32">
        <f t="shared" si="1"/>
        <v>8.0627838083875269E-4</v>
      </c>
    </row>
    <row r="33" spans="2:10" x14ac:dyDescent="0.25">
      <c r="B33">
        <v>20</v>
      </c>
      <c r="C33" s="1">
        <v>0.25</v>
      </c>
      <c r="D33">
        <f t="shared" si="0"/>
        <v>0.2712164949255555</v>
      </c>
      <c r="E33">
        <f t="shared" si="1"/>
        <v>1.7174624111083098E-3</v>
      </c>
    </row>
    <row r="34" spans="2:10" x14ac:dyDescent="0.25">
      <c r="B34">
        <v>21</v>
      </c>
      <c r="C34" s="1">
        <v>0.47</v>
      </c>
      <c r="D34">
        <f t="shared" si="0"/>
        <v>0.44241343870018568</v>
      </c>
      <c r="E34">
        <f t="shared" si="1"/>
        <v>3.6546191544306202E-3</v>
      </c>
    </row>
    <row r="35" spans="2:10" x14ac:dyDescent="0.25">
      <c r="B35">
        <v>22</v>
      </c>
      <c r="C35" s="1">
        <v>0.6</v>
      </c>
      <c r="D35">
        <f t="shared" si="0"/>
        <v>0.62848279397231543</v>
      </c>
      <c r="E35">
        <f t="shared" si="1"/>
        <v>7.7597459731340822E-3</v>
      </c>
    </row>
    <row r="36" spans="2:10" x14ac:dyDescent="0.25">
      <c r="B36">
        <v>23</v>
      </c>
      <c r="C36" s="1">
        <v>0.78</v>
      </c>
      <c r="D36">
        <f t="shared" si="0"/>
        <v>0.78292600069353291</v>
      </c>
      <c r="E36">
        <f t="shared" si="1"/>
        <v>1.6400140487123488E-2</v>
      </c>
    </row>
    <row r="37" spans="2:10" ht="15" customHeight="1" x14ac:dyDescent="0.25">
      <c r="B37">
        <v>24</v>
      </c>
      <c r="C37" s="1">
        <v>0.91</v>
      </c>
      <c r="D37">
        <f t="shared" si="0"/>
        <v>0.88492168804923133</v>
      </c>
      <c r="E37">
        <f t="shared" si="1"/>
        <v>3.4328663752827449E-2</v>
      </c>
    </row>
    <row r="38" spans="2:10" x14ac:dyDescent="0.25">
      <c r="B38">
        <v>25</v>
      </c>
      <c r="C38" s="1">
        <v>0.95</v>
      </c>
      <c r="D38">
        <f t="shared" si="0"/>
        <v>0.9425120144564566</v>
      </c>
      <c r="E38">
        <f t="shared" si="1"/>
        <v>7.0452678653720249E-2</v>
      </c>
    </row>
    <row r="39" spans="2:10" x14ac:dyDescent="0.25">
      <c r="B39">
        <v>26</v>
      </c>
      <c r="C39" s="1">
        <v>0.97</v>
      </c>
      <c r="D39">
        <f t="shared" si="0"/>
        <v>0.9721873909099642</v>
      </c>
      <c r="E39">
        <f t="shared" si="1"/>
        <v>0.13911379625278225</v>
      </c>
    </row>
    <row r="40" spans="2:10" x14ac:dyDescent="0.25">
      <c r="B40">
        <v>27</v>
      </c>
      <c r="C40" s="1">
        <v>0.98</v>
      </c>
      <c r="D40">
        <f t="shared" si="0"/>
        <v>0.98675949306969191</v>
      </c>
      <c r="E40">
        <f t="shared" si="1"/>
        <v>0.25624385925127896</v>
      </c>
    </row>
    <row r="41" spans="2:10" x14ac:dyDescent="0.25">
      <c r="B41">
        <v>28</v>
      </c>
      <c r="C41">
        <v>1</v>
      </c>
      <c r="D41">
        <f t="shared" si="0"/>
        <v>0.99374582300098702</v>
      </c>
      <c r="E41">
        <f t="shared" si="1"/>
        <v>0.42348158732317226</v>
      </c>
    </row>
    <row r="42" spans="2:10" x14ac:dyDescent="0.25">
      <c r="B42">
        <v>29</v>
      </c>
      <c r="C42">
        <v>1</v>
      </c>
      <c r="D42">
        <f t="shared" si="0"/>
        <v>0.99705682345488467</v>
      </c>
      <c r="E42">
        <f t="shared" si="1"/>
        <v>0.61030374242182106</v>
      </c>
    </row>
    <row r="43" spans="2:10" x14ac:dyDescent="0.25">
      <c r="B43">
        <v>30</v>
      </c>
      <c r="C43">
        <v>1</v>
      </c>
      <c r="D43">
        <f t="shared" si="0"/>
        <v>0.99861739830761809</v>
      </c>
      <c r="E43">
        <f t="shared" si="1"/>
        <v>0.76953289630871191</v>
      </c>
    </row>
    <row r="44" spans="2:10" x14ac:dyDescent="0.25">
      <c r="B44">
        <v>31</v>
      </c>
      <c r="C44">
        <v>1</v>
      </c>
      <c r="D44">
        <f t="shared" si="0"/>
        <v>0.99935104052603208</v>
      </c>
      <c r="E44">
        <f t="shared" si="1"/>
        <v>0.8768315504700136</v>
      </c>
      <c r="G44" s="76"/>
      <c r="H44" s="76"/>
      <c r="I44" s="76"/>
      <c r="J44" s="76"/>
    </row>
    <row r="45" spans="2:10" x14ac:dyDescent="0.25">
      <c r="B45">
        <v>32</v>
      </c>
      <c r="C45">
        <v>1</v>
      </c>
      <c r="D45">
        <f t="shared" si="0"/>
        <v>0.99969551296664794</v>
      </c>
      <c r="E45">
        <f t="shared" si="1"/>
        <v>0.93818774148816408</v>
      </c>
      <c r="G45" s="76"/>
      <c r="H45" s="76"/>
      <c r="I45" s="76"/>
      <c r="J45" s="76"/>
    </row>
    <row r="46" spans="2:10" x14ac:dyDescent="0.25">
      <c r="B46">
        <v>33</v>
      </c>
      <c r="C46">
        <v>1</v>
      </c>
      <c r="D46">
        <f t="shared" si="0"/>
        <v>0.99985716304795857</v>
      </c>
      <c r="E46">
        <f t="shared" si="1"/>
        <v>0.97002432072575207</v>
      </c>
    </row>
    <row r="47" spans="2:10" x14ac:dyDescent="0.25">
      <c r="B47">
        <v>34</v>
      </c>
      <c r="C47">
        <v>1</v>
      </c>
      <c r="D47">
        <f t="shared" si="0"/>
        <v>0.99993299995947482</v>
      </c>
      <c r="E47">
        <f t="shared" si="1"/>
        <v>0.98571308425246484</v>
      </c>
    </row>
    <row r="48" spans="2:10" x14ac:dyDescent="0.25">
      <c r="B48">
        <v>35</v>
      </c>
      <c r="C48">
        <v>1</v>
      </c>
      <c r="D48">
        <f t="shared" si="0"/>
        <v>0.99996857378569892</v>
      </c>
      <c r="E48">
        <f t="shared" si="1"/>
        <v>0.99324777176343892</v>
      </c>
    </row>
    <row r="49" spans="2:5" x14ac:dyDescent="0.25">
      <c r="B49">
        <v>36</v>
      </c>
      <c r="C49">
        <v>1</v>
      </c>
      <c r="D49">
        <f t="shared" si="0"/>
        <v>0.99998525988517728</v>
      </c>
      <c r="E49">
        <f t="shared" si="1"/>
        <v>0.99682160033270706</v>
      </c>
    </row>
    <row r="50" spans="2:5" x14ac:dyDescent="0.25">
      <c r="B50">
        <v>37</v>
      </c>
      <c r="C50">
        <v>1</v>
      </c>
      <c r="D50">
        <f t="shared" si="0"/>
        <v>0.99999308637502715</v>
      </c>
      <c r="E50">
        <f t="shared" si="1"/>
        <v>0.99850671189073992</v>
      </c>
    </row>
    <row r="51" spans="2:5" x14ac:dyDescent="0.25">
      <c r="B51">
        <v>38</v>
      </c>
      <c r="C51">
        <v>1</v>
      </c>
      <c r="D51">
        <f t="shared" si="0"/>
        <v>0.9999967572836298</v>
      </c>
      <c r="E51">
        <f t="shared" si="1"/>
        <v>0.99929904579861251</v>
      </c>
    </row>
    <row r="52" spans="2:5" x14ac:dyDescent="0.25">
      <c r="B52">
        <v>39</v>
      </c>
      <c r="C52">
        <v>1</v>
      </c>
      <c r="D52">
        <f t="shared" si="0"/>
        <v>0.99999847906286465</v>
      </c>
      <c r="E52">
        <f t="shared" si="1"/>
        <v>0.99967110833822492</v>
      </c>
    </row>
    <row r="53" spans="2:5" x14ac:dyDescent="0.25">
      <c r="B53">
        <v>40</v>
      </c>
      <c r="C53">
        <v>1</v>
      </c>
      <c r="D53">
        <f t="shared" si="0"/>
        <v>0.99999928663275139</v>
      </c>
      <c r="E53">
        <f t="shared" si="1"/>
        <v>0.99984571267008293</v>
      </c>
    </row>
    <row r="54" spans="2:5" x14ac:dyDescent="0.25">
      <c r="B54">
        <v>41</v>
      </c>
      <c r="C54">
        <v>1</v>
      </c>
      <c r="D54">
        <f t="shared" si="0"/>
        <v>0.99999966540851593</v>
      </c>
      <c r="E54">
        <f t="shared" si="1"/>
        <v>0.99992762852985317</v>
      </c>
    </row>
  </sheetData>
  <mergeCells count="12">
    <mergeCell ref="H2:P7"/>
    <mergeCell ref="B18:C18"/>
    <mergeCell ref="B19:C19"/>
    <mergeCell ref="B21:C21"/>
    <mergeCell ref="D21:E21"/>
    <mergeCell ref="B13:C13"/>
    <mergeCell ref="B2:F9"/>
    <mergeCell ref="B14:C14"/>
    <mergeCell ref="B15:C15"/>
    <mergeCell ref="B16:C16"/>
    <mergeCell ref="B17:C17"/>
    <mergeCell ref="B12:C1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66"/>
  <sheetViews>
    <sheetView workbookViewId="0">
      <selection sqref="A1:P1"/>
    </sheetView>
  </sheetViews>
  <sheetFormatPr defaultRowHeight="15" x14ac:dyDescent="0.25"/>
  <cols>
    <col min="1" max="1" width="10" customWidth="1"/>
    <col min="2" max="2" width="7.5703125" style="187" bestFit="1" customWidth="1"/>
    <col min="3" max="3" width="11" customWidth="1"/>
    <col min="4" max="4" width="10.5703125" bestFit="1" customWidth="1"/>
    <col min="6" max="7" width="9.5703125" bestFit="1" customWidth="1"/>
    <col min="8" max="8" width="12" bestFit="1" customWidth="1"/>
    <col min="10" max="10" width="9.140625" customWidth="1"/>
    <col min="11" max="11" width="9.85546875" customWidth="1"/>
    <col min="14" max="14" width="9.5703125" bestFit="1" customWidth="1"/>
    <col min="15" max="15" width="12.85546875" bestFit="1" customWidth="1"/>
  </cols>
  <sheetData>
    <row r="1" spans="1:16" ht="15.75" x14ac:dyDescent="0.25">
      <c r="A1" s="260" t="s">
        <v>20</v>
      </c>
      <c r="B1" s="260"/>
      <c r="C1" s="260"/>
      <c r="D1" s="260"/>
      <c r="E1" s="260"/>
      <c r="F1" s="260"/>
      <c r="G1" s="260"/>
      <c r="H1" s="260"/>
      <c r="I1" s="260"/>
      <c r="J1" s="260"/>
      <c r="K1" s="260"/>
      <c r="L1" s="260"/>
      <c r="M1" s="260"/>
      <c r="N1" s="260"/>
      <c r="O1" s="260"/>
      <c r="P1" s="260"/>
    </row>
    <row r="2" spans="1:16" ht="15.75" thickBot="1" x14ac:dyDescent="0.3">
      <c r="A2" s="5"/>
      <c r="B2" s="183"/>
      <c r="C2" s="6"/>
      <c r="D2" s="6"/>
      <c r="E2" s="6"/>
      <c r="F2" s="6"/>
      <c r="G2" s="6"/>
      <c r="H2" s="6"/>
      <c r="I2" s="7"/>
      <c r="J2" s="7"/>
      <c r="K2" s="7"/>
      <c r="L2" s="7"/>
      <c r="M2" s="7"/>
    </row>
    <row r="3" spans="1:16" x14ac:dyDescent="0.25">
      <c r="A3" s="261" t="s">
        <v>21</v>
      </c>
      <c r="B3" s="262"/>
      <c r="C3" s="262"/>
      <c r="D3" s="263"/>
      <c r="E3" s="6"/>
      <c r="F3" s="267" t="s">
        <v>22</v>
      </c>
      <c r="G3" s="268"/>
      <c r="H3" s="268"/>
      <c r="I3" s="269"/>
      <c r="J3" s="7"/>
      <c r="K3" s="273" t="s">
        <v>23</v>
      </c>
      <c r="L3" s="274"/>
      <c r="M3" s="274"/>
      <c r="N3" s="274"/>
      <c r="O3" s="274"/>
      <c r="P3" s="275"/>
    </row>
    <row r="4" spans="1:16" x14ac:dyDescent="0.25">
      <c r="A4" s="264"/>
      <c r="B4" s="265"/>
      <c r="C4" s="265"/>
      <c r="D4" s="266"/>
      <c r="E4" s="8"/>
      <c r="F4" s="270"/>
      <c r="G4" s="271"/>
      <c r="H4" s="271"/>
      <c r="I4" s="272"/>
      <c r="J4" s="7"/>
      <c r="K4" s="276"/>
      <c r="L4" s="277"/>
      <c r="M4" s="277"/>
      <c r="N4" s="277"/>
      <c r="O4" s="277"/>
      <c r="P4" s="278"/>
    </row>
    <row r="5" spans="1:16" x14ac:dyDescent="0.25">
      <c r="A5" s="114" t="s">
        <v>24</v>
      </c>
      <c r="B5" s="258" t="s">
        <v>25</v>
      </c>
      <c r="C5" s="258"/>
      <c r="D5" s="259"/>
      <c r="E5" s="9"/>
      <c r="F5" s="279" t="s">
        <v>26</v>
      </c>
      <c r="G5" s="280"/>
      <c r="H5" s="280"/>
      <c r="I5" s="281"/>
      <c r="J5" s="7"/>
      <c r="K5" s="255" t="s">
        <v>27</v>
      </c>
      <c r="L5" s="256"/>
      <c r="M5" s="256"/>
      <c r="N5" s="256"/>
      <c r="O5" s="256"/>
      <c r="P5" s="257"/>
    </row>
    <row r="6" spans="1:16" x14ac:dyDescent="0.25">
      <c r="A6" s="114" t="s">
        <v>28</v>
      </c>
      <c r="B6" s="258" t="s">
        <v>29</v>
      </c>
      <c r="C6" s="258"/>
      <c r="D6" s="259"/>
      <c r="E6" s="9"/>
      <c r="F6" s="279" t="s">
        <v>30</v>
      </c>
      <c r="G6" s="280"/>
      <c r="H6" s="280"/>
      <c r="I6" s="281"/>
      <c r="J6" s="7"/>
      <c r="K6" s="255" t="s">
        <v>31</v>
      </c>
      <c r="L6" s="256"/>
      <c r="M6" s="256"/>
      <c r="N6" s="256"/>
      <c r="O6" s="256"/>
      <c r="P6" s="257"/>
    </row>
    <row r="7" spans="1:16" x14ac:dyDescent="0.25">
      <c r="A7" s="114" t="s">
        <v>32</v>
      </c>
      <c r="B7" s="258" t="s">
        <v>33</v>
      </c>
      <c r="C7" s="258"/>
      <c r="D7" s="259"/>
      <c r="E7" s="9"/>
      <c r="F7" s="134"/>
      <c r="G7" s="10"/>
      <c r="H7" s="10"/>
      <c r="I7" s="129"/>
      <c r="J7" s="7"/>
      <c r="K7" s="255" t="s">
        <v>34</v>
      </c>
      <c r="L7" s="256"/>
      <c r="M7" s="256"/>
      <c r="N7" s="256"/>
      <c r="O7" s="256"/>
      <c r="P7" s="257"/>
    </row>
    <row r="8" spans="1:16" x14ac:dyDescent="0.25">
      <c r="A8" s="114" t="s">
        <v>35</v>
      </c>
      <c r="B8" s="258" t="s">
        <v>36</v>
      </c>
      <c r="C8" s="258"/>
      <c r="D8" s="259"/>
      <c r="E8" s="9"/>
      <c r="F8" s="135"/>
      <c r="G8" s="11"/>
      <c r="H8" s="11"/>
      <c r="I8" s="136"/>
      <c r="J8" s="7"/>
      <c r="K8" s="138"/>
      <c r="L8" s="12"/>
      <c r="M8" s="12"/>
      <c r="N8" s="13"/>
      <c r="O8" s="13"/>
      <c r="P8" s="139"/>
    </row>
    <row r="9" spans="1:16" x14ac:dyDescent="0.25">
      <c r="A9" s="114" t="s">
        <v>37</v>
      </c>
      <c r="B9" s="258" t="s">
        <v>38</v>
      </c>
      <c r="C9" s="258"/>
      <c r="D9" s="259"/>
      <c r="E9" s="14"/>
      <c r="F9" s="134"/>
      <c r="G9" s="10"/>
      <c r="H9" s="10"/>
      <c r="I9" s="129"/>
      <c r="J9" s="7"/>
      <c r="K9" s="140" t="s">
        <v>39</v>
      </c>
      <c r="L9" s="13"/>
      <c r="M9" s="13"/>
      <c r="N9" s="13"/>
      <c r="O9" s="13"/>
      <c r="P9" s="139"/>
    </row>
    <row r="10" spans="1:16" ht="15.75" thickBot="1" x14ac:dyDescent="0.3">
      <c r="A10" s="115" t="s">
        <v>40</v>
      </c>
      <c r="B10" s="282" t="s">
        <v>41</v>
      </c>
      <c r="C10" s="282"/>
      <c r="D10" s="283"/>
      <c r="E10" s="9"/>
      <c r="F10" s="137"/>
      <c r="G10" s="132"/>
      <c r="H10" s="132"/>
      <c r="I10" s="133"/>
      <c r="J10" s="7"/>
      <c r="K10" s="141"/>
      <c r="L10" s="142"/>
      <c r="M10" s="142"/>
      <c r="N10" s="143"/>
      <c r="O10" s="143"/>
      <c r="P10" s="144"/>
    </row>
    <row r="11" spans="1:16" s="19" customFormat="1" ht="15.75" thickBot="1" x14ac:dyDescent="0.3">
      <c r="A11" s="15"/>
      <c r="B11" s="184"/>
      <c r="C11" s="16"/>
      <c r="D11" s="16"/>
      <c r="E11" s="9"/>
      <c r="F11" s="6"/>
      <c r="G11" s="6"/>
      <c r="H11" s="6"/>
      <c r="I11" s="6"/>
      <c r="J11" s="17"/>
      <c r="K11" s="6"/>
      <c r="L11" s="6"/>
      <c r="M11" s="6"/>
      <c r="N11" s="18"/>
      <c r="O11" s="18"/>
      <c r="P11" s="18"/>
    </row>
    <row r="12" spans="1:16" s="19" customFormat="1" x14ac:dyDescent="0.25">
      <c r="A12" s="116" t="s">
        <v>42</v>
      </c>
      <c r="B12" s="197">
        <v>1000</v>
      </c>
      <c r="C12" s="117"/>
      <c r="D12" s="118"/>
      <c r="E12" s="9"/>
      <c r="F12" s="124" t="s">
        <v>13</v>
      </c>
      <c r="G12" s="125">
        <f>A64</f>
        <v>1</v>
      </c>
      <c r="H12" s="126"/>
      <c r="I12" s="127"/>
      <c r="J12" s="17"/>
      <c r="K12" s="6"/>
      <c r="L12" s="6"/>
      <c r="M12" s="6"/>
      <c r="N12" s="18"/>
      <c r="O12" s="18"/>
      <c r="P12" s="18"/>
    </row>
    <row r="13" spans="1:16" x14ac:dyDescent="0.25">
      <c r="A13" s="119" t="s">
        <v>43</v>
      </c>
      <c r="B13" s="185">
        <f>'VonBert Means'!D17</f>
        <v>-0.55538369203290838</v>
      </c>
      <c r="C13" s="20" t="s">
        <v>11</v>
      </c>
      <c r="D13" s="120">
        <f>Length_Weight!D16</f>
        <v>9.356073038760597E-2</v>
      </c>
      <c r="E13" s="9"/>
      <c r="F13" s="128" t="s">
        <v>44</v>
      </c>
      <c r="G13" s="21">
        <f>Selectivity!D18</f>
        <v>21.305609676978836</v>
      </c>
      <c r="H13" s="10"/>
      <c r="I13" s="129"/>
      <c r="J13" s="7"/>
      <c r="K13" s="6"/>
      <c r="L13" s="6"/>
      <c r="M13" s="6"/>
      <c r="N13" s="18"/>
      <c r="O13" s="18"/>
      <c r="P13" s="18"/>
    </row>
    <row r="14" spans="1:16" ht="15.75" thickBot="1" x14ac:dyDescent="0.3">
      <c r="A14" s="119" t="s">
        <v>45</v>
      </c>
      <c r="B14" s="185">
        <f>'VonBert Means'!D16</f>
        <v>38.098386927580798</v>
      </c>
      <c r="C14" s="20" t="s">
        <v>12</v>
      </c>
      <c r="D14" s="120">
        <f>Length_Weight!D17</f>
        <v>2.5746214890699322</v>
      </c>
      <c r="E14" s="9"/>
      <c r="F14" s="130" t="s">
        <v>14</v>
      </c>
      <c r="G14" s="131">
        <f>Selectivity!D19</f>
        <v>0.75708640485110668</v>
      </c>
      <c r="H14" s="132"/>
      <c r="I14" s="133"/>
      <c r="J14" s="7"/>
      <c r="K14" s="6"/>
      <c r="L14" s="6"/>
      <c r="M14" s="6"/>
      <c r="N14" s="18"/>
      <c r="O14" s="18"/>
      <c r="P14" s="18"/>
    </row>
    <row r="15" spans="1:16" x14ac:dyDescent="0.25">
      <c r="A15" s="119" t="s">
        <v>5</v>
      </c>
      <c r="B15" s="185">
        <f>'VonBert Means'!D15</f>
        <v>0.22315866671761878</v>
      </c>
      <c r="C15" s="22" t="s">
        <v>46</v>
      </c>
      <c r="D15" s="120"/>
      <c r="E15" s="9"/>
      <c r="H15" s="6"/>
      <c r="I15" s="6"/>
      <c r="J15" s="7"/>
      <c r="K15" s="6"/>
      <c r="L15" s="6"/>
      <c r="M15" s="6"/>
      <c r="N15" s="18"/>
      <c r="O15" s="18"/>
      <c r="P15" s="18"/>
    </row>
    <row r="16" spans="1:16" ht="15.75" thickBot="1" x14ac:dyDescent="0.3">
      <c r="A16" s="121" t="s">
        <v>47</v>
      </c>
      <c r="B16" s="186">
        <f>Mortality!I15</f>
        <v>0.2793944481106253</v>
      </c>
      <c r="C16" s="122" t="s">
        <v>48</v>
      </c>
      <c r="D16" s="123">
        <f>'Maturity Prob Length'!D17</f>
        <v>15.522026095902197</v>
      </c>
      <c r="E16" s="9"/>
      <c r="H16" s="6"/>
      <c r="I16" s="6"/>
      <c r="J16" s="7"/>
      <c r="K16" s="6"/>
      <c r="L16" s="6"/>
      <c r="M16" s="6"/>
      <c r="N16" s="18"/>
      <c r="O16" s="18"/>
      <c r="P16" s="18"/>
    </row>
    <row r="17" spans="1:15" ht="15.75" thickBot="1" x14ac:dyDescent="0.3">
      <c r="C17" s="18"/>
      <c r="D17" s="18"/>
      <c r="E17" s="9"/>
      <c r="F17" s="7"/>
      <c r="G17" s="6"/>
      <c r="H17" s="18"/>
      <c r="I17" s="7"/>
      <c r="J17" s="7"/>
      <c r="M17" s="7"/>
    </row>
    <row r="18" spans="1:15" ht="15.75" thickBot="1" x14ac:dyDescent="0.3">
      <c r="A18" s="23" t="s">
        <v>0</v>
      </c>
      <c r="B18" s="188" t="s">
        <v>49</v>
      </c>
      <c r="C18" s="24" t="s">
        <v>50</v>
      </c>
      <c r="D18" s="24" t="s">
        <v>51</v>
      </c>
      <c r="E18" s="24" t="s">
        <v>52</v>
      </c>
      <c r="F18" s="25" t="s">
        <v>53</v>
      </c>
      <c r="G18" s="26" t="s">
        <v>54</v>
      </c>
      <c r="H18" s="27" t="s">
        <v>55</v>
      </c>
      <c r="I18" s="28" t="s">
        <v>56</v>
      </c>
      <c r="J18" s="29" t="s">
        <v>57</v>
      </c>
      <c r="K18" s="30" t="s">
        <v>54</v>
      </c>
      <c r="M18" s="145"/>
      <c r="N18" s="146" t="s">
        <v>58</v>
      </c>
      <c r="O18" s="147" t="s">
        <v>59</v>
      </c>
    </row>
    <row r="19" spans="1:15" x14ac:dyDescent="0.25">
      <c r="A19" s="31">
        <v>0</v>
      </c>
      <c r="B19" s="189">
        <f t="shared" ref="B19:B59" si="0">$B$14*(1-EXP(-$B$15*(A19-$B$13)))</f>
        <v>4.4409762788491642</v>
      </c>
      <c r="C19" s="32">
        <f t="shared" ref="C19:C59" si="1">$D$13*B19^$D$14</f>
        <v>4.3461583283534466</v>
      </c>
      <c r="D19" s="33">
        <v>0</v>
      </c>
      <c r="E19" s="34">
        <f>B12</f>
        <v>1000</v>
      </c>
      <c r="F19" s="35">
        <f>E19*C19</f>
        <v>4346.1583283534464</v>
      </c>
      <c r="G19" s="36">
        <f>D19*F19</f>
        <v>0</v>
      </c>
      <c r="H19" s="37">
        <f>(1+EXP(-$G$14*(B19-$G$13)))^-1</f>
        <v>2.850581586374839E-6</v>
      </c>
      <c r="I19" s="38">
        <f>E19</f>
        <v>1000</v>
      </c>
      <c r="J19" s="39">
        <f t="shared" ref="J19:J38" si="2">((H19*$G$12)/(H19*$G$12+$B$16))*(I19-I20)*C19</f>
        <v>1.0808871228320225E-2</v>
      </c>
      <c r="K19" s="40">
        <f>D19*I19*C19</f>
        <v>0</v>
      </c>
      <c r="M19" s="148" t="s">
        <v>60</v>
      </c>
      <c r="N19" s="41">
        <f>SUM(J19:J39)</f>
        <v>94464.034200823269</v>
      </c>
      <c r="O19" s="149">
        <f>N19/B12</f>
        <v>94.464034200823264</v>
      </c>
    </row>
    <row r="20" spans="1:15" ht="15.75" thickBot="1" x14ac:dyDescent="0.3">
      <c r="A20" s="42">
        <v>1</v>
      </c>
      <c r="B20" s="190">
        <f t="shared" si="0"/>
        <v>11.172865401791277</v>
      </c>
      <c r="C20" s="43">
        <f t="shared" si="1"/>
        <v>46.743434744016817</v>
      </c>
      <c r="D20" s="44">
        <v>8.9999999999999993E-3</v>
      </c>
      <c r="E20" s="45">
        <f t="shared" ref="E20:E59" si="3">$E$19*EXP(-A20*$B$16)</f>
        <v>756.24154632663544</v>
      </c>
      <c r="F20" s="46">
        <f t="shared" ref="F20:F59" si="4">E20*C20</f>
        <v>35349.327371433457</v>
      </c>
      <c r="G20" s="47">
        <f t="shared" ref="G20:G59" si="5">D20*F20</f>
        <v>318.14394634290107</v>
      </c>
      <c r="H20" s="48">
        <f t="shared" ref="H20:H59" si="6">(1+EXP(-$G$14*(B20-$G$13)))^-1</f>
        <v>4.6576524897630082E-4</v>
      </c>
      <c r="I20" s="49">
        <f t="shared" ref="I20:I59" si="7">I19*EXP(-((H19*$G$12)+$B$16))</f>
        <v>756.2393906014812</v>
      </c>
      <c r="J20" s="50">
        <f t="shared" si="2"/>
        <v>14.361257886613995</v>
      </c>
      <c r="K20" s="40">
        <f t="shared" ref="K20:K54" si="8">D20*I20*C20</f>
        <v>318.14303944891839</v>
      </c>
      <c r="M20" s="150" t="s">
        <v>54</v>
      </c>
      <c r="N20" s="151">
        <f>SUM(K19:K39)</f>
        <v>271500.05264526658</v>
      </c>
      <c r="O20" s="152">
        <f>N20/B12</f>
        <v>271.50005264526658</v>
      </c>
    </row>
    <row r="21" spans="1:15" x14ac:dyDescent="0.25">
      <c r="A21" s="42">
        <v>2</v>
      </c>
      <c r="B21" s="190">
        <f t="shared" si="0"/>
        <v>16.558295296584355</v>
      </c>
      <c r="C21" s="43">
        <f t="shared" si="1"/>
        <v>128.70559393997627</v>
      </c>
      <c r="D21" s="44">
        <v>0.77932500054579457</v>
      </c>
      <c r="E21" s="45">
        <f t="shared" si="3"/>
        <v>571.9012763905007</v>
      </c>
      <c r="F21" s="46">
        <f t="shared" si="4"/>
        <v>73606.893452869917</v>
      </c>
      <c r="G21" s="47">
        <f t="shared" si="5"/>
        <v>57363.692280332092</v>
      </c>
      <c r="H21" s="48">
        <f t="shared" si="6"/>
        <v>2.6749462034792216E-2</v>
      </c>
      <c r="I21" s="49">
        <f t="shared" si="7"/>
        <v>571.63333718404533</v>
      </c>
      <c r="J21" s="50">
        <f t="shared" si="2"/>
        <v>1695.2993278252695</v>
      </c>
      <c r="K21" s="40">
        <f t="shared" si="8"/>
        <v>57336.817043602518</v>
      </c>
      <c r="M21" s="7"/>
    </row>
    <row r="22" spans="1:15" x14ac:dyDescent="0.25">
      <c r="A22" s="42">
        <v>3</v>
      </c>
      <c r="B22" s="190">
        <f t="shared" si="0"/>
        <v>20.866574090554675</v>
      </c>
      <c r="C22" s="43">
        <f t="shared" si="1"/>
        <v>233.443019744639</v>
      </c>
      <c r="D22" s="44">
        <v>0.99077447245861872</v>
      </c>
      <c r="E22" s="45">
        <f t="shared" si="3"/>
        <v>432.49550560372882</v>
      </c>
      <c r="F22" s="46">
        <f t="shared" si="4"/>
        <v>100963.0568541189</v>
      </c>
      <c r="G22" s="47">
        <f t="shared" si="5"/>
        <v>100031.61939244918</v>
      </c>
      <c r="H22" s="48">
        <f t="shared" si="6"/>
        <v>0.41765973038106274</v>
      </c>
      <c r="I22" s="49">
        <f t="shared" si="7"/>
        <v>420.88256710745657</v>
      </c>
      <c r="J22" s="50">
        <f t="shared" si="2"/>
        <v>29550.040978831534</v>
      </c>
      <c r="K22" s="40">
        <f t="shared" si="8"/>
        <v>97345.669992661904</v>
      </c>
    </row>
    <row r="23" spans="1:15" x14ac:dyDescent="0.25">
      <c r="A23" s="42">
        <v>4</v>
      </c>
      <c r="B23" s="190">
        <f t="shared" si="0"/>
        <v>24.313145029027091</v>
      </c>
      <c r="C23" s="43">
        <f t="shared" si="1"/>
        <v>346.0269977866468</v>
      </c>
      <c r="D23" s="44">
        <v>0.99969389859814783</v>
      </c>
      <c r="E23" s="45">
        <f t="shared" si="3"/>
        <v>327.07106993708391</v>
      </c>
      <c r="F23" s="46">
        <f t="shared" si="4"/>
        <v>113175.42039319553</v>
      </c>
      <c r="G23" s="47">
        <f t="shared" si="5"/>
        <v>113140.77723835796</v>
      </c>
      <c r="H23" s="48">
        <f t="shared" si="6"/>
        <v>0.90695116362240835</v>
      </c>
      <c r="I23" s="49">
        <f t="shared" si="7"/>
        <v>209.62069395888849</v>
      </c>
      <c r="J23" s="50">
        <f t="shared" si="2"/>
        <v>38520.525742620463</v>
      </c>
      <c r="K23" s="40">
        <f t="shared" si="8"/>
        <v>72512.216517085413</v>
      </c>
    </row>
    <row r="24" spans="1:15" x14ac:dyDescent="0.25">
      <c r="A24" s="42">
        <v>5</v>
      </c>
      <c r="B24" s="190">
        <f t="shared" si="0"/>
        <v>27.070360103071909</v>
      </c>
      <c r="C24" s="43">
        <f t="shared" si="1"/>
        <v>456.27169065299921</v>
      </c>
      <c r="D24" s="44">
        <v>0.99986962716122907</v>
      </c>
      <c r="E24" s="45">
        <f t="shared" si="3"/>
        <v>247.34473168792744</v>
      </c>
      <c r="F24" s="46">
        <f t="shared" si="4"/>
        <v>112856.39890136312</v>
      </c>
      <c r="G24" s="47">
        <f t="shared" si="5"/>
        <v>112841.68549226489</v>
      </c>
      <c r="H24" s="48">
        <f t="shared" si="6"/>
        <v>0.98743771282712456</v>
      </c>
      <c r="I24" s="49">
        <f t="shared" si="7"/>
        <v>64.004543086072289</v>
      </c>
      <c r="J24" s="50">
        <f t="shared" si="2"/>
        <v>16349.976012923731</v>
      </c>
      <c r="K24" s="40">
        <f t="shared" si="8"/>
        <v>29199.653745231561</v>
      </c>
    </row>
    <row r="25" spans="1:15" x14ac:dyDescent="0.25">
      <c r="A25" s="42">
        <v>6</v>
      </c>
      <c r="B25" s="190">
        <f t="shared" si="0"/>
        <v>29.276098821425247</v>
      </c>
      <c r="C25" s="43">
        <f t="shared" si="1"/>
        <v>558.22593997532601</v>
      </c>
      <c r="D25" s="44">
        <v>0.99997635581138578</v>
      </c>
      <c r="E25" s="45">
        <f t="shared" si="3"/>
        <v>187.05236236742502</v>
      </c>
      <c r="F25" s="46">
        <f t="shared" si="4"/>
        <v>104417.48080716113</v>
      </c>
      <c r="G25" s="47">
        <f t="shared" si="5"/>
        <v>104415.01194055031</v>
      </c>
      <c r="H25" s="48">
        <f t="shared" si="6"/>
        <v>0.99761066731415748</v>
      </c>
      <c r="I25" s="49">
        <f t="shared" si="7"/>
        <v>18.031530242315672</v>
      </c>
      <c r="J25" s="50">
        <f t="shared" si="2"/>
        <v>5670.532751247335</v>
      </c>
      <c r="K25" s="40">
        <f t="shared" si="8"/>
        <v>10065.429924159385</v>
      </c>
    </row>
    <row r="26" spans="1:15" x14ac:dyDescent="0.25">
      <c r="A26" s="42">
        <v>7</v>
      </c>
      <c r="B26" s="190">
        <f t="shared" si="0"/>
        <v>31.040663123805064</v>
      </c>
      <c r="C26" s="43">
        <f t="shared" si="1"/>
        <v>649.00970631093901</v>
      </c>
      <c r="D26" s="44">
        <v>1</v>
      </c>
      <c r="E26" s="45">
        <f t="shared" si="3"/>
        <v>141.45676776079165</v>
      </c>
      <c r="F26" s="46">
        <f t="shared" si="4"/>
        <v>91806.815300126094</v>
      </c>
      <c r="G26" s="47">
        <f t="shared" si="5"/>
        <v>91806.815300126094</v>
      </c>
      <c r="H26" s="48">
        <f t="shared" si="6"/>
        <v>0.99937070229282388</v>
      </c>
      <c r="I26" s="49">
        <f t="shared" si="7"/>
        <v>5.028475165784509</v>
      </c>
      <c r="J26" s="50">
        <f t="shared" si="2"/>
        <v>1840.4811535004244</v>
      </c>
      <c r="K26" s="40">
        <f t="shared" si="8"/>
        <v>3263.5291905376544</v>
      </c>
    </row>
    <row r="27" spans="1:15" x14ac:dyDescent="0.25">
      <c r="A27" s="42">
        <v>8</v>
      </c>
      <c r="B27" s="190">
        <f t="shared" si="0"/>
        <v>32.452293228189163</v>
      </c>
      <c r="C27" s="43">
        <f t="shared" si="1"/>
        <v>727.74371530648466</v>
      </c>
      <c r="D27" s="44">
        <v>1</v>
      </c>
      <c r="E27" s="45">
        <f t="shared" si="3"/>
        <v>106.97548478978881</v>
      </c>
      <c r="F27" s="46">
        <f t="shared" si="4"/>
        <v>77850.736747633244</v>
      </c>
      <c r="G27" s="47">
        <f t="shared" si="5"/>
        <v>77850.736747633244</v>
      </c>
      <c r="H27" s="48">
        <f t="shared" si="6"/>
        <v>0.99978378100932741</v>
      </c>
      <c r="I27" s="49">
        <f t="shared" si="7"/>
        <v>1.3998311746222929</v>
      </c>
      <c r="J27" s="50">
        <f t="shared" si="2"/>
        <v>574.65394332810979</v>
      </c>
      <c r="K27" s="40">
        <f t="shared" si="8"/>
        <v>1018.7183398214679</v>
      </c>
    </row>
    <row r="28" spans="1:15" x14ac:dyDescent="0.25">
      <c r="A28" s="42">
        <v>9</v>
      </c>
      <c r="B28" s="190">
        <f t="shared" si="0"/>
        <v>33.581580241938653</v>
      </c>
      <c r="C28" s="43">
        <f t="shared" si="1"/>
        <v>794.74236462711838</v>
      </c>
      <c r="D28" s="44">
        <v>1</v>
      </c>
      <c r="E28" s="45">
        <f t="shared" si="3"/>
        <v>80.899306036471359</v>
      </c>
      <c r="F28" s="46">
        <f t="shared" si="4"/>
        <v>64294.105776118158</v>
      </c>
      <c r="G28" s="47">
        <f t="shared" si="5"/>
        <v>64294.105776118158</v>
      </c>
      <c r="H28" s="48">
        <f t="shared" si="6"/>
        <v>0.99990803131267392</v>
      </c>
      <c r="I28" s="49">
        <f t="shared" si="7"/>
        <v>0.38952524990100035</v>
      </c>
      <c r="J28" s="50">
        <f t="shared" si="2"/>
        <v>174.64125187816981</v>
      </c>
      <c r="K28" s="40">
        <f t="shared" si="8"/>
        <v>309.57221818829021</v>
      </c>
    </row>
    <row r="29" spans="1:15" x14ac:dyDescent="0.25">
      <c r="A29" s="42">
        <v>10</v>
      </c>
      <c r="B29" s="190">
        <f t="shared" si="0"/>
        <v>34.484996197338432</v>
      </c>
      <c r="C29" s="43">
        <f t="shared" si="1"/>
        <v>850.96032762136724</v>
      </c>
      <c r="D29" s="44">
        <v>1</v>
      </c>
      <c r="E29" s="45">
        <f t="shared" si="3"/>
        <v>61.179416293772803</v>
      </c>
      <c r="F29" s="46">
        <f t="shared" si="4"/>
        <v>52061.256133032919</v>
      </c>
      <c r="G29" s="47">
        <f t="shared" si="5"/>
        <v>52061.256133032919</v>
      </c>
      <c r="H29" s="48">
        <f t="shared" si="6"/>
        <v>0.99995358931154421</v>
      </c>
      <c r="I29" s="49">
        <f t="shared" si="7"/>
        <v>0.10837811854984002</v>
      </c>
      <c r="J29" s="50">
        <f t="shared" si="2"/>
        <v>52.029269185154256</v>
      </c>
      <c r="K29" s="40">
        <f t="shared" si="8"/>
        <v>92.225479268159233</v>
      </c>
    </row>
    <row r="30" spans="1:15" x14ac:dyDescent="0.25">
      <c r="A30" s="42">
        <v>11</v>
      </c>
      <c r="B30" s="190">
        <f t="shared" si="0"/>
        <v>35.207718037343533</v>
      </c>
      <c r="C30" s="43">
        <f t="shared" si="1"/>
        <v>897.63694442200085</v>
      </c>
      <c r="D30" s="44">
        <v>1</v>
      </c>
      <c r="E30" s="45">
        <f t="shared" si="3"/>
        <v>46.266416381363719</v>
      </c>
      <c r="F30" s="46">
        <f t="shared" si="4"/>
        <v>41530.444629923331</v>
      </c>
      <c r="G30" s="47">
        <f t="shared" si="5"/>
        <v>41530.444629923331</v>
      </c>
      <c r="H30" s="48">
        <f t="shared" si="6"/>
        <v>0.99997314676048599</v>
      </c>
      <c r="I30" s="49">
        <f t="shared" si="7"/>
        <v>3.0152811607666034E-2</v>
      </c>
      <c r="J30" s="50">
        <f t="shared" si="2"/>
        <v>15.269698670692152</v>
      </c>
      <c r="K30" s="40">
        <f t="shared" si="8"/>
        <v>27.066277677237579</v>
      </c>
    </row>
    <row r="31" spans="1:15" x14ac:dyDescent="0.25">
      <c r="A31" s="42">
        <v>12</v>
      </c>
      <c r="B31" s="190">
        <f t="shared" si="0"/>
        <v>35.785886770027929</v>
      </c>
      <c r="C31" s="43">
        <f t="shared" si="1"/>
        <v>936.0808247605363</v>
      </c>
      <c r="D31" s="44">
        <v>1</v>
      </c>
      <c r="E31" s="45">
        <f t="shared" si="3"/>
        <v>34.988586267234474</v>
      </c>
      <c r="F31" s="46">
        <f t="shared" si="4"/>
        <v>32752.144690238019</v>
      </c>
      <c r="G31" s="47">
        <f t="shared" si="5"/>
        <v>32752.144690238019</v>
      </c>
      <c r="H31" s="48">
        <f t="shared" si="6"/>
        <v>0.99998266595826946</v>
      </c>
      <c r="I31" s="49">
        <f t="shared" si="7"/>
        <v>8.3889098529249823E-3</v>
      </c>
      <c r="J31" s="50">
        <f t="shared" si="2"/>
        <v>4.4301997340842307</v>
      </c>
      <c r="K31" s="40">
        <f t="shared" si="8"/>
        <v>7.8526976539678071</v>
      </c>
    </row>
    <row r="32" spans="1:15" x14ac:dyDescent="0.25">
      <c r="A32" s="42">
        <v>13</v>
      </c>
      <c r="B32" s="190">
        <f t="shared" si="0"/>
        <v>36.24841476482537</v>
      </c>
      <c r="C32" s="43">
        <f t="shared" si="1"/>
        <v>967.54821990354731</v>
      </c>
      <c r="D32" s="44">
        <v>1</v>
      </c>
      <c r="E32" s="45">
        <f t="shared" si="3"/>
        <v>26.459822582516274</v>
      </c>
      <c r="F32" s="46">
        <f t="shared" si="4"/>
        <v>25601.154238677304</v>
      </c>
      <c r="G32" s="47">
        <f t="shared" si="5"/>
        <v>25601.154238677304</v>
      </c>
      <c r="H32" s="48">
        <f t="shared" si="6"/>
        <v>0.99998778696575075</v>
      </c>
      <c r="I32" s="49">
        <f t="shared" si="7"/>
        <v>2.3338831395609085E-3</v>
      </c>
      <c r="J32" s="50">
        <f t="shared" si="2"/>
        <v>1.2739650038375687</v>
      </c>
      <c r="K32" s="40">
        <f t="shared" si="8"/>
        <v>2.2581444771450592</v>
      </c>
    </row>
    <row r="33" spans="1:11" x14ac:dyDescent="0.25">
      <c r="A33" s="42">
        <v>14</v>
      </c>
      <c r="B33" s="190">
        <f t="shared" si="0"/>
        <v>36.618431567667812</v>
      </c>
      <c r="C33" s="43">
        <f t="shared" si="1"/>
        <v>993.18134452517245</v>
      </c>
      <c r="D33" s="44">
        <v>1</v>
      </c>
      <c r="E33" s="45">
        <f t="shared" si="3"/>
        <v>20.01001714533054</v>
      </c>
      <c r="F33" s="46">
        <f t="shared" si="4"/>
        <v>19873.57573237114</v>
      </c>
      <c r="G33" s="47">
        <f t="shared" si="5"/>
        <v>19873.57573237114</v>
      </c>
      <c r="H33" s="48">
        <f t="shared" si="6"/>
        <v>0.99999077080291177</v>
      </c>
      <c r="I33" s="49">
        <f t="shared" si="7"/>
        <v>6.4930756326071672E-4</v>
      </c>
      <c r="J33" s="50">
        <f t="shared" si="2"/>
        <v>0.36381916319687174</v>
      </c>
      <c r="K33" s="40">
        <f t="shared" si="8"/>
        <v>0.6448801586896421</v>
      </c>
    </row>
    <row r="34" spans="1:11" x14ac:dyDescent="0.25">
      <c r="A34" s="42">
        <v>15</v>
      </c>
      <c r="B34" s="190">
        <f t="shared" si="0"/>
        <v>36.914440535612997</v>
      </c>
      <c r="C34" s="43">
        <f t="shared" si="1"/>
        <v>1013.9834142762696</v>
      </c>
      <c r="D34" s="44">
        <v>1</v>
      </c>
      <c r="E34" s="45">
        <f t="shared" si="3"/>
        <v>15.13240630800725</v>
      </c>
      <c r="F34" s="46">
        <f t="shared" si="4"/>
        <v>15344.00901440895</v>
      </c>
      <c r="G34" s="47">
        <f t="shared" si="5"/>
        <v>15344.00901440895</v>
      </c>
      <c r="H34" s="48">
        <f t="shared" si="6"/>
        <v>0.99999262371928832</v>
      </c>
      <c r="I34" s="49">
        <f t="shared" si="7"/>
        <v>1.8064274366457267E-4</v>
      </c>
      <c r="J34" s="50">
        <f t="shared" si="2"/>
        <v>0.10333761017421984</v>
      </c>
      <c r="K34" s="40">
        <f t="shared" si="8"/>
        <v>0.18316874598523636</v>
      </c>
    </row>
    <row r="35" spans="1:11" x14ac:dyDescent="0.25">
      <c r="A35" s="42">
        <v>16</v>
      </c>
      <c r="B35" s="190">
        <f t="shared" si="0"/>
        <v>37.151244130560215</v>
      </c>
      <c r="C35" s="43">
        <f t="shared" si="1"/>
        <v>1030.8150694117953</v>
      </c>
      <c r="D35" s="44">
        <v>1</v>
      </c>
      <c r="E35" s="45">
        <f t="shared" si="3"/>
        <v>11.443754346010337</v>
      </c>
      <c r="F35" s="46">
        <f t="shared" si="4"/>
        <v>11796.394430514179</v>
      </c>
      <c r="G35" s="47">
        <f t="shared" si="5"/>
        <v>11796.394430514179</v>
      </c>
      <c r="H35" s="48">
        <f t="shared" si="6"/>
        <v>0.99999383437215728</v>
      </c>
      <c r="I35" s="49">
        <f t="shared" si="7"/>
        <v>5.0256214806510315E-5</v>
      </c>
      <c r="J35" s="50">
        <f t="shared" si="2"/>
        <v>2.9226572905371926E-2</v>
      </c>
      <c r="K35" s="40">
        <f t="shared" si="8"/>
        <v>5.1804863554147026E-2</v>
      </c>
    </row>
    <row r="36" spans="1:11" x14ac:dyDescent="0.25">
      <c r="A36" s="42">
        <v>17</v>
      </c>
      <c r="B36" s="190">
        <f t="shared" si="0"/>
        <v>37.340684143034146</v>
      </c>
      <c r="C36" s="43">
        <f t="shared" si="1"/>
        <v>1044.402402825767</v>
      </c>
      <c r="D36" s="44">
        <v>1</v>
      </c>
      <c r="E36" s="45">
        <f t="shared" si="3"/>
        <v>8.6542424824090158</v>
      </c>
      <c r="F36" s="46">
        <f t="shared" si="4"/>
        <v>9038.5116432648065</v>
      </c>
      <c r="G36" s="47">
        <f t="shared" si="5"/>
        <v>9038.5116432648065</v>
      </c>
      <c r="H36" s="48">
        <f t="shared" si="6"/>
        <v>0.99999465816975308</v>
      </c>
      <c r="I36" s="49">
        <f t="shared" si="7"/>
        <v>1.3981652502131057E-5</v>
      </c>
      <c r="J36" s="50">
        <f t="shared" si="2"/>
        <v>8.2382305442142735E-3</v>
      </c>
      <c r="K36" s="40">
        <f t="shared" si="8"/>
        <v>1.4602471468700574E-2</v>
      </c>
    </row>
    <row r="37" spans="1:11" x14ac:dyDescent="0.25">
      <c r="A37" s="42">
        <v>18</v>
      </c>
      <c r="B37" s="190">
        <f t="shared" si="0"/>
        <v>37.492233862260832</v>
      </c>
      <c r="C37" s="43">
        <f t="shared" si="1"/>
        <v>1055.3505519627122</v>
      </c>
      <c r="D37" s="44">
        <v>1</v>
      </c>
      <c r="E37" s="45">
        <f t="shared" si="3"/>
        <v>6.5446977171826504</v>
      </c>
      <c r="F37" s="46">
        <f t="shared" si="4"/>
        <v>6906.950348257812</v>
      </c>
      <c r="G37" s="47">
        <f t="shared" si="5"/>
        <v>6906.950348257812</v>
      </c>
      <c r="H37" s="48">
        <f t="shared" si="6"/>
        <v>0.99999523721450989</v>
      </c>
      <c r="I37" s="49">
        <f t="shared" si="7"/>
        <v>3.8897964441144814E-6</v>
      </c>
      <c r="J37" s="50">
        <f t="shared" si="2"/>
        <v>2.3159615424267386E-3</v>
      </c>
      <c r="K37" s="40">
        <f t="shared" si="8"/>
        <v>4.1050988243188135E-3</v>
      </c>
    </row>
    <row r="38" spans="1:11" x14ac:dyDescent="0.25">
      <c r="A38" s="42">
        <v>19</v>
      </c>
      <c r="B38" s="190">
        <f t="shared" si="0"/>
        <v>37.613471805067917</v>
      </c>
      <c r="C38" s="43">
        <f t="shared" si="1"/>
        <v>1064.1592622385288</v>
      </c>
      <c r="D38" s="44">
        <v>1</v>
      </c>
      <c r="E38" s="45">
        <f t="shared" si="3"/>
        <v>4.9493723218826107</v>
      </c>
      <c r="F38" s="46">
        <f t="shared" si="4"/>
        <v>5266.9203985983931</v>
      </c>
      <c r="G38" s="47">
        <f t="shared" si="5"/>
        <v>5266.9203985983931</v>
      </c>
      <c r="H38" s="48">
        <f t="shared" si="6"/>
        <v>0.99999565491420805</v>
      </c>
      <c r="I38" s="49">
        <f t="shared" si="7"/>
        <v>1.0821687646074638E-6</v>
      </c>
      <c r="J38" s="50">
        <f t="shared" si="2"/>
        <v>6.4969490389288147E-4</v>
      </c>
      <c r="K38" s="40">
        <f t="shared" si="8"/>
        <v>1.1515999141622588E-3</v>
      </c>
    </row>
    <row r="39" spans="1:11" x14ac:dyDescent="0.25">
      <c r="A39" s="42">
        <v>20</v>
      </c>
      <c r="B39" s="190">
        <f t="shared" si="0"/>
        <v>37.710460693276332</v>
      </c>
      <c r="C39" s="43">
        <f t="shared" si="1"/>
        <v>1071.2383907329422</v>
      </c>
      <c r="D39" s="44">
        <v>1</v>
      </c>
      <c r="E39" s="45">
        <f t="shared" si="3"/>
        <v>3.7429209780467532</v>
      </c>
      <c r="F39" s="46">
        <f t="shared" si="4"/>
        <v>4009.5606451633739</v>
      </c>
      <c r="G39" s="47">
        <f t="shared" si="5"/>
        <v>4009.5606451633739</v>
      </c>
      <c r="H39" s="48">
        <f t="shared" si="6"/>
        <v>0.99999596253571599</v>
      </c>
      <c r="I39" s="49">
        <f t="shared" si="7"/>
        <v>3.0106684572157013E-7</v>
      </c>
      <c r="J39" s="50">
        <f>((H39*$G$12)/(H39*$G$12+$B$16))*(I39-I60)*C39</f>
        <v>2.5208338165569252E-4</v>
      </c>
      <c r="K39" s="40">
        <f t="shared" si="8"/>
        <v>3.2251436331381776E-4</v>
      </c>
    </row>
    <row r="40" spans="1:11" x14ac:dyDescent="0.25">
      <c r="A40" s="42">
        <v>21</v>
      </c>
      <c r="B40" s="190">
        <f t="shared" si="0"/>
        <v>37.788050631030991</v>
      </c>
      <c r="C40" s="43">
        <f t="shared" si="1"/>
        <v>1076.9222891457646</v>
      </c>
      <c r="D40" s="44">
        <v>1</v>
      </c>
      <c r="E40" s="45">
        <f t="shared" si="3"/>
        <v>2.8305523482164805</v>
      </c>
      <c r="F40" s="46">
        <f t="shared" si="4"/>
        <v>3048.2849143882113</v>
      </c>
      <c r="G40" s="47">
        <f t="shared" si="5"/>
        <v>3048.2849143882113</v>
      </c>
      <c r="H40" s="48">
        <f t="shared" si="6"/>
        <v>0.99999619287319297</v>
      </c>
      <c r="I40" s="49">
        <f t="shared" si="7"/>
        <v>8.3758855988069246E-8</v>
      </c>
      <c r="J40" s="50">
        <f t="shared" ref="J40:J41" si="9">((H40*$G$12)/(H40*$G$12+$B$16))*(I40-I61)*C40</f>
        <v>7.0503435485450163E-5</v>
      </c>
      <c r="K40" s="40">
        <f t="shared" si="8"/>
        <v>9.0201778926901968E-5</v>
      </c>
    </row>
    <row r="41" spans="1:11" x14ac:dyDescent="0.25">
      <c r="A41" s="42">
        <v>22</v>
      </c>
      <c r="B41" s="190">
        <f t="shared" si="0"/>
        <v>37.850121642999241</v>
      </c>
      <c r="C41" s="43">
        <f t="shared" si="1"/>
        <v>1081.4825906308895</v>
      </c>
      <c r="D41" s="44">
        <v>1</v>
      </c>
      <c r="E41" s="45">
        <f t="shared" si="3"/>
        <v>2.1405812847737211</v>
      </c>
      <c r="F41" s="46">
        <f t="shared" si="4"/>
        <v>2315.0013933130817</v>
      </c>
      <c r="G41" s="47">
        <f t="shared" si="5"/>
        <v>2315.0013933130817</v>
      </c>
      <c r="H41" s="48">
        <f t="shared" si="6"/>
        <v>0.99999636764266442</v>
      </c>
      <c r="I41" s="49">
        <f t="shared" si="7"/>
        <v>2.3302281337797E-8</v>
      </c>
      <c r="J41" s="50">
        <f t="shared" si="9"/>
        <v>1.9697593369773588E-5</v>
      </c>
      <c r="K41" s="40">
        <f t="shared" si="8"/>
        <v>2.520101158881053E-5</v>
      </c>
    </row>
    <row r="42" spans="1:11" x14ac:dyDescent="0.25">
      <c r="A42" s="42">
        <v>23</v>
      </c>
      <c r="B42" s="190">
        <f t="shared" si="0"/>
        <v>37.899777701996811</v>
      </c>
      <c r="C42" s="43">
        <f t="shared" si="1"/>
        <v>1085.139265505969</v>
      </c>
      <c r="D42" s="44">
        <v>1</v>
      </c>
      <c r="E42" s="45">
        <f t="shared" si="3"/>
        <v>1.6187965008351337</v>
      </c>
      <c r="F42" s="46">
        <f t="shared" si="4"/>
        <v>1756.6196459198698</v>
      </c>
      <c r="G42" s="47">
        <f t="shared" si="5"/>
        <v>1756.6196459198698</v>
      </c>
      <c r="H42" s="48">
        <f t="shared" si="6"/>
        <v>0.99999650166182685</v>
      </c>
      <c r="I42" s="49">
        <f t="shared" si="7"/>
        <v>6.4828514458699987E-9</v>
      </c>
      <c r="J42" s="50">
        <f t="shared" ref="J42:J59" si="10">((H42*$G$12)/(H42*$G$12+$B$16))*(I42-I63)*C42</f>
        <v>5.498531975319331E-6</v>
      </c>
      <c r="K42" s="40">
        <f t="shared" si="8"/>
        <v>7.034796656355679E-6</v>
      </c>
    </row>
    <row r="43" spans="1:11" x14ac:dyDescent="0.25">
      <c r="A43" s="42">
        <v>24</v>
      </c>
      <c r="B43" s="190">
        <f t="shared" si="0"/>
        <v>37.939501948742311</v>
      </c>
      <c r="C43" s="43">
        <f t="shared" si="1"/>
        <v>1088.0699980394836</v>
      </c>
      <c r="D43" s="44">
        <v>1</v>
      </c>
      <c r="E43" s="45">
        <f t="shared" si="3"/>
        <v>1.2242011689797085</v>
      </c>
      <c r="F43" s="46">
        <f t="shared" si="4"/>
        <v>1332.0165635316851</v>
      </c>
      <c r="G43" s="47">
        <f t="shared" si="5"/>
        <v>1332.0165635316851</v>
      </c>
      <c r="H43" s="48">
        <f t="shared" si="6"/>
        <v>0.99999660530654266</v>
      </c>
      <c r="I43" s="49">
        <f t="shared" si="7"/>
        <v>1.8035726471372357E-9</v>
      </c>
      <c r="J43" s="50">
        <f t="shared" si="10"/>
        <v>1.5338598934248263E-6</v>
      </c>
      <c r="K43" s="40">
        <f t="shared" si="8"/>
        <v>1.9624132866346782E-6</v>
      </c>
    </row>
    <row r="44" spans="1:11" x14ac:dyDescent="0.25">
      <c r="A44" s="42">
        <v>25</v>
      </c>
      <c r="B44" s="190">
        <f t="shared" si="0"/>
        <v>37.971280865783925</v>
      </c>
      <c r="C44" s="43">
        <f t="shared" si="1"/>
        <v>1090.4180302368327</v>
      </c>
      <c r="D44" s="44">
        <v>1</v>
      </c>
      <c r="E44" s="45">
        <f t="shared" si="3"/>
        <v>0.92579178504408988</v>
      </c>
      <c r="F44" s="46">
        <f t="shared" si="4"/>
        <v>1009.5000546572177</v>
      </c>
      <c r="G44" s="47">
        <f t="shared" si="5"/>
        <v>1009.5000546572177</v>
      </c>
      <c r="H44" s="48">
        <f t="shared" si="6"/>
        <v>0.99999668600583203</v>
      </c>
      <c r="I44" s="49">
        <f t="shared" si="7"/>
        <v>5.0176592561452174E-10</v>
      </c>
      <c r="J44" s="50">
        <f t="shared" si="10"/>
        <v>4.276509227379331E-7</v>
      </c>
      <c r="K44" s="40">
        <f t="shared" si="8"/>
        <v>5.4713461224854795E-7</v>
      </c>
    </row>
    <row r="45" spans="1:11" x14ac:dyDescent="0.25">
      <c r="A45" s="42">
        <v>26</v>
      </c>
      <c r="B45" s="190">
        <f t="shared" si="0"/>
        <v>37.996703615139204</v>
      </c>
      <c r="C45" s="43">
        <f t="shared" si="1"/>
        <v>1092.2986568547844</v>
      </c>
      <c r="D45" s="44">
        <v>1</v>
      </c>
      <c r="E45" s="45">
        <f t="shared" si="3"/>
        <v>0.70012221109823813</v>
      </c>
      <c r="F45" s="46">
        <f t="shared" si="4"/>
        <v>764.74255081680735</v>
      </c>
      <c r="G45" s="47">
        <f t="shared" si="5"/>
        <v>764.74255081680735</v>
      </c>
      <c r="H45" s="48">
        <f t="shared" si="6"/>
        <v>0.99999674918087045</v>
      </c>
      <c r="I45" s="49">
        <f t="shared" si="7"/>
        <v>1.3959461194415544E-10</v>
      </c>
      <c r="J45" s="50">
        <f t="shared" si="10"/>
        <v>1.191805225578334E-7</v>
      </c>
      <c r="K45" s="40">
        <f t="shared" si="8"/>
        <v>1.5247900713076584E-7</v>
      </c>
    </row>
    <row r="46" spans="1:11" x14ac:dyDescent="0.25">
      <c r="A46" s="42">
        <v>27</v>
      </c>
      <c r="B46" s="190">
        <f t="shared" si="0"/>
        <v>38.017041507205661</v>
      </c>
      <c r="C46" s="43">
        <f t="shared" si="1"/>
        <v>1093.804562644963</v>
      </c>
      <c r="D46" s="44">
        <v>1</v>
      </c>
      <c r="E46" s="45">
        <f t="shared" si="3"/>
        <v>0.52946150353855492</v>
      </c>
      <c r="F46" s="46">
        <f t="shared" si="4"/>
        <v>579.12740831533358</v>
      </c>
      <c r="G46" s="47">
        <f t="shared" si="5"/>
        <v>579.12740831533358</v>
      </c>
      <c r="H46" s="48">
        <f t="shared" si="6"/>
        <v>0.99999679885194537</v>
      </c>
      <c r="I46" s="49">
        <f t="shared" si="7"/>
        <v>3.8836145417613819E-11</v>
      </c>
      <c r="J46" s="50">
        <f t="shared" si="10"/>
        <v>3.3202522818661939E-8</v>
      </c>
      <c r="K46" s="40">
        <f t="shared" si="8"/>
        <v>4.2479153053329266E-8</v>
      </c>
    </row>
    <row r="47" spans="1:11" x14ac:dyDescent="0.25">
      <c r="A47" s="42">
        <v>28</v>
      </c>
      <c r="B47" s="190">
        <f t="shared" si="0"/>
        <v>38.033311574928327</v>
      </c>
      <c r="C47" s="43">
        <f t="shared" si="1"/>
        <v>1095.0101827568724</v>
      </c>
      <c r="D47" s="44">
        <v>1</v>
      </c>
      <c r="E47" s="45">
        <f t="shared" si="3"/>
        <v>0.40040078615642227</v>
      </c>
      <c r="F47" s="46">
        <f t="shared" si="4"/>
        <v>438.44293802513931</v>
      </c>
      <c r="G47" s="47">
        <f t="shared" si="5"/>
        <v>438.44293802513931</v>
      </c>
      <c r="H47" s="48">
        <f t="shared" si="6"/>
        <v>0.99999683804121364</v>
      </c>
      <c r="I47" s="49">
        <f t="shared" si="7"/>
        <v>1.0804472285686857E-11</v>
      </c>
      <c r="J47" s="50">
        <f t="shared" si="10"/>
        <v>9.2473427723348916E-9</v>
      </c>
      <c r="K47" s="40">
        <f t="shared" si="8"/>
        <v>1.1831007172141527E-8</v>
      </c>
    </row>
    <row r="48" spans="1:11" x14ac:dyDescent="0.25">
      <c r="A48" s="42">
        <v>29</v>
      </c>
      <c r="B48" s="190">
        <f t="shared" si="0"/>
        <v>38.04632743236504</v>
      </c>
      <c r="C48" s="43">
        <f t="shared" si="1"/>
        <v>1095.9752491575744</v>
      </c>
      <c r="D48" s="44">
        <v>1</v>
      </c>
      <c r="E48" s="45">
        <f t="shared" si="3"/>
        <v>0.30279970967333308</v>
      </c>
      <c r="F48" s="46">
        <f t="shared" si="4"/>
        <v>331.86098725407243</v>
      </c>
      <c r="G48" s="47">
        <f t="shared" si="5"/>
        <v>331.86098725407243</v>
      </c>
      <c r="H48" s="48">
        <f t="shared" si="6"/>
        <v>0.99999686904644924</v>
      </c>
      <c r="I48" s="49">
        <f t="shared" si="7"/>
        <v>3.0058754683828058E-12</v>
      </c>
      <c r="J48" s="50">
        <f t="shared" si="10"/>
        <v>2.5749391579534015E-9</v>
      </c>
      <c r="K48" s="40">
        <f t="shared" si="8"/>
        <v>3.2943651153974863E-9</v>
      </c>
    </row>
    <row r="49" spans="1:12" x14ac:dyDescent="0.25">
      <c r="A49" s="42">
        <v>30</v>
      </c>
      <c r="B49" s="190">
        <f t="shared" si="0"/>
        <v>38.05673996092365</v>
      </c>
      <c r="C49" s="43">
        <f t="shared" si="1"/>
        <v>1096.7476650013264</v>
      </c>
      <c r="D49" s="44">
        <v>1</v>
      </c>
      <c r="E49" s="45">
        <f t="shared" si="3"/>
        <v>0.22898972067061757</v>
      </c>
      <c r="F49" s="46">
        <f t="shared" si="4"/>
        <v>251.14394145480577</v>
      </c>
      <c r="G49" s="47">
        <f t="shared" si="5"/>
        <v>251.14394145480577</v>
      </c>
      <c r="H49" s="48">
        <f t="shared" si="6"/>
        <v>0.99999689363122435</v>
      </c>
      <c r="I49" s="49">
        <f t="shared" si="7"/>
        <v>8.3625435952608021E-13</v>
      </c>
      <c r="J49" s="50">
        <f t="shared" si="10"/>
        <v>7.168699186845301E-10</v>
      </c>
      <c r="K49" s="40">
        <f t="shared" si="8"/>
        <v>9.171600161574082E-10</v>
      </c>
    </row>
    <row r="50" spans="1:12" x14ac:dyDescent="0.25">
      <c r="A50" s="42">
        <v>31</v>
      </c>
      <c r="B50" s="190">
        <f t="shared" si="0"/>
        <v>38.065069857859839</v>
      </c>
      <c r="C50" s="43">
        <f t="shared" si="1"/>
        <v>1097.3658279786785</v>
      </c>
      <c r="D50" s="44">
        <v>1</v>
      </c>
      <c r="E50" s="45">
        <f t="shared" si="3"/>
        <v>0.17317154045285235</v>
      </c>
      <c r="F50" s="46">
        <f t="shared" si="4"/>
        <v>190.03253087138754</v>
      </c>
      <c r="G50" s="47">
        <f t="shared" si="5"/>
        <v>190.03253087138754</v>
      </c>
      <c r="H50" s="48">
        <f t="shared" si="6"/>
        <v>0.99999691315968642</v>
      </c>
      <c r="I50" s="49">
        <f t="shared" si="7"/>
        <v>2.3265146676550744E-13</v>
      </c>
      <c r="J50" s="50">
        <f t="shared" si="10"/>
        <v>1.9955034018842064E-10</v>
      </c>
      <c r="K50" s="40">
        <f t="shared" si="8"/>
        <v>2.5530376945758508E-10</v>
      </c>
    </row>
    <row r="51" spans="1:12" x14ac:dyDescent="0.25">
      <c r="A51" s="42">
        <v>32</v>
      </c>
      <c r="B51" s="190">
        <f t="shared" si="0"/>
        <v>38.071733674681745</v>
      </c>
      <c r="C51" s="43">
        <f t="shared" si="1"/>
        <v>1097.8605042718154</v>
      </c>
      <c r="D51" s="44">
        <v>1</v>
      </c>
      <c r="E51" s="45">
        <f t="shared" si="3"/>
        <v>0.1309595135318305</v>
      </c>
      <c r="F51" s="46">
        <f t="shared" si="4"/>
        <v>143.77527756524708</v>
      </c>
      <c r="G51" s="47">
        <f t="shared" si="5"/>
        <v>143.77527756524708</v>
      </c>
      <c r="H51" s="48">
        <f t="shared" si="6"/>
        <v>0.9999969286937922</v>
      </c>
      <c r="I51" s="49">
        <f t="shared" si="7"/>
        <v>6.4725168024003199E-14</v>
      </c>
      <c r="J51" s="50">
        <f t="shared" si="10"/>
        <v>5.5541243007919482E-11</v>
      </c>
      <c r="K51" s="40">
        <f t="shared" si="8"/>
        <v>7.1059205605910133E-11</v>
      </c>
    </row>
    <row r="52" spans="1:12" x14ac:dyDescent="0.25">
      <c r="A52" s="42">
        <v>33</v>
      </c>
      <c r="B52" s="190">
        <f t="shared" si="0"/>
        <v>38.077064647558856</v>
      </c>
      <c r="C52" s="43">
        <f t="shared" si="1"/>
        <v>1098.2563374988424</v>
      </c>
      <c r="D52" s="44">
        <v>1</v>
      </c>
      <c r="E52" s="45">
        <f t="shared" si="3"/>
        <v>9.9037025019495378E-2</v>
      </c>
      <c r="F52" s="46">
        <f t="shared" si="4"/>
        <v>108.76804037469222</v>
      </c>
      <c r="G52" s="47">
        <f t="shared" si="5"/>
        <v>108.76804037469222</v>
      </c>
      <c r="H52" s="48">
        <f t="shared" si="6"/>
        <v>0.99999694106458692</v>
      </c>
      <c r="I52" s="49">
        <f t="shared" si="7"/>
        <v>1.8006967112226212E-14</v>
      </c>
      <c r="J52" s="50">
        <f t="shared" si="10"/>
        <v>1.5457510049809848E-11</v>
      </c>
      <c r="K52" s="40">
        <f t="shared" si="8"/>
        <v>1.9776265750135667E-11</v>
      </c>
    </row>
    <row r="53" spans="1:12" x14ac:dyDescent="0.25">
      <c r="A53" s="42">
        <v>34</v>
      </c>
      <c r="B53" s="190">
        <f t="shared" si="0"/>
        <v>38.081329361397188</v>
      </c>
      <c r="C53" s="43">
        <f t="shared" si="1"/>
        <v>1098.57306212872</v>
      </c>
      <c r="D53" s="44">
        <v>1</v>
      </c>
      <c r="E53" s="45">
        <f t="shared" si="3"/>
        <v>7.4895912944332954E-2</v>
      </c>
      <c r="F53" s="46">
        <f t="shared" si="4"/>
        <v>82.278632424181893</v>
      </c>
      <c r="G53" s="47">
        <f t="shared" si="5"/>
        <v>82.278632424181893</v>
      </c>
      <c r="H53" s="48">
        <f t="shared" si="6"/>
        <v>0.99999695092518814</v>
      </c>
      <c r="I53" s="49">
        <f t="shared" si="7"/>
        <v>5.009656528806657E-15</v>
      </c>
      <c r="J53" s="50">
        <f t="shared" si="10"/>
        <v>4.301621018172197E-12</v>
      </c>
      <c r="K53" s="40">
        <f t="shared" si="8"/>
        <v>5.5034737130642635E-12</v>
      </c>
    </row>
    <row r="54" spans="1:12" x14ac:dyDescent="0.25">
      <c r="A54" s="42">
        <v>35</v>
      </c>
      <c r="B54" s="190">
        <f t="shared" si="0"/>
        <v>38.084741080897942</v>
      </c>
      <c r="C54" s="43">
        <f t="shared" si="1"/>
        <v>1098.8264782183805</v>
      </c>
      <c r="D54" s="44">
        <v>1</v>
      </c>
      <c r="E54" s="45">
        <f t="shared" si="3"/>
        <v>5.6639401018567397E-2</v>
      </c>
      <c r="F54" s="46">
        <f t="shared" si="4"/>
        <v>62.236873549630971</v>
      </c>
      <c r="G54" s="47">
        <f t="shared" si="5"/>
        <v>62.236873549630971</v>
      </c>
      <c r="H54" s="48">
        <f t="shared" si="6"/>
        <v>0.99999695879065953</v>
      </c>
      <c r="I54" s="49">
        <f t="shared" si="7"/>
        <v>1.3937193383391652E-15</v>
      </c>
      <c r="J54" s="50">
        <f t="shared" si="10"/>
        <v>1.1970152733821072E-12</v>
      </c>
      <c r="K54" s="40">
        <f t="shared" si="8"/>
        <v>1.5314557121720764E-12</v>
      </c>
    </row>
    <row r="55" spans="1:12" x14ac:dyDescent="0.25">
      <c r="A55" s="42">
        <v>36</v>
      </c>
      <c r="B55" s="190">
        <f t="shared" si="0"/>
        <v>38.087470415243246</v>
      </c>
      <c r="C55" s="43">
        <f t="shared" si="1"/>
        <v>1099.0292337643368</v>
      </c>
      <c r="D55" s="44">
        <v>1</v>
      </c>
      <c r="E55" s="45">
        <f t="shared" si="3"/>
        <v>4.2833068209295798E-2</v>
      </c>
      <c r="F55" s="46">
        <f t="shared" si="4"/>
        <v>47.074794133837933</v>
      </c>
      <c r="G55" s="47">
        <f t="shared" si="5"/>
        <v>47.074794133837933</v>
      </c>
      <c r="H55" s="48">
        <f t="shared" si="6"/>
        <v>0.99999696506833091</v>
      </c>
      <c r="I55" s="49">
        <f t="shared" si="7"/>
        <v>3.877418676535408E-16</v>
      </c>
      <c r="J55" s="50">
        <f t="shared" si="10"/>
        <v>3.3307895458049712E-13</v>
      </c>
      <c r="K55" s="51">
        <f t="shared" ref="K55:K59" si="11">D55*I55*C55</f>
        <v>4.2613964770562387E-13</v>
      </c>
    </row>
    <row r="56" spans="1:12" x14ac:dyDescent="0.25">
      <c r="A56" s="42">
        <v>37</v>
      </c>
      <c r="B56" s="190">
        <f t="shared" si="0"/>
        <v>38.089653849715752</v>
      </c>
      <c r="C56" s="43">
        <f t="shared" si="1"/>
        <v>1099.1914522222269</v>
      </c>
      <c r="D56" s="44">
        <v>1</v>
      </c>
      <c r="E56" s="45">
        <f t="shared" si="3"/>
        <v>3.239214573651214E-2</v>
      </c>
      <c r="F56" s="46">
        <f t="shared" si="4"/>
        <v>35.605169712710797</v>
      </c>
      <c r="G56" s="47">
        <f t="shared" si="5"/>
        <v>35.605169712710797</v>
      </c>
      <c r="H56" s="48">
        <f t="shared" si="6"/>
        <v>0.9999969700810607</v>
      </c>
      <c r="I56" s="49">
        <f t="shared" si="7"/>
        <v>1.078723318618836E-16</v>
      </c>
      <c r="J56" s="50">
        <f t="shared" si="10"/>
        <v>9.2678428324038155E-14</v>
      </c>
      <c r="K56" s="51">
        <f t="shared" si="11"/>
        <v>1.1857234511386183E-13</v>
      </c>
    </row>
    <row r="57" spans="1:12" x14ac:dyDescent="0.25">
      <c r="A57" s="42">
        <v>38</v>
      </c>
      <c r="B57" s="190">
        <f t="shared" si="0"/>
        <v>38.09140057089116</v>
      </c>
      <c r="C57" s="43">
        <f t="shared" si="1"/>
        <v>1099.321235569641</v>
      </c>
      <c r="D57" s="44">
        <v>1</v>
      </c>
      <c r="E57" s="45">
        <f t="shared" si="3"/>
        <v>2.4496286380617658E-2</v>
      </c>
      <c r="F57" s="46">
        <f t="shared" si="4"/>
        <v>26.929287810808372</v>
      </c>
      <c r="G57" s="47">
        <f t="shared" si="5"/>
        <v>26.929287810808372</v>
      </c>
      <c r="H57" s="48">
        <f t="shared" si="6"/>
        <v>0.99999697408522237</v>
      </c>
      <c r="I57" s="49">
        <f t="shared" si="7"/>
        <v>3.0010790409117057E-17</v>
      </c>
      <c r="J57" s="50">
        <f t="shared" si="10"/>
        <v>2.5786791118923782E-14</v>
      </c>
      <c r="K57" s="51">
        <f t="shared" si="11"/>
        <v>3.2991499192972096E-14</v>
      </c>
    </row>
    <row r="58" spans="1:12" x14ac:dyDescent="0.25">
      <c r="A58" s="42">
        <v>39</v>
      </c>
      <c r="B58" s="190">
        <f t="shared" si="0"/>
        <v>38.092797926709729</v>
      </c>
      <c r="C58" s="43">
        <f t="shared" si="1"/>
        <v>1099.4250674254968</v>
      </c>
      <c r="D58" s="44">
        <v>1</v>
      </c>
      <c r="E58" s="45">
        <f t="shared" si="3"/>
        <v>1.8525109491738388E-2</v>
      </c>
      <c r="F58" s="46">
        <f t="shared" si="4"/>
        <v>20.366969752019187</v>
      </c>
      <c r="G58" s="47">
        <f t="shared" si="5"/>
        <v>20.366969752019187</v>
      </c>
      <c r="H58" s="48">
        <f t="shared" si="6"/>
        <v>0.99999697728469294</v>
      </c>
      <c r="I58" s="49">
        <f t="shared" si="7"/>
        <v>8.3491987410337566E-18</v>
      </c>
      <c r="J58" s="50">
        <f t="shared" si="10"/>
        <v>7.1747320328549217E-15</v>
      </c>
      <c r="K58" s="51">
        <f t="shared" si="11"/>
        <v>9.17931838880991E-15</v>
      </c>
    </row>
    <row r="59" spans="1:12" ht="15.75" thickBot="1" x14ac:dyDescent="0.3">
      <c r="A59" s="52">
        <v>40</v>
      </c>
      <c r="B59" s="191">
        <f t="shared" si="0"/>
        <v>38.093915794467435</v>
      </c>
      <c r="C59" s="53">
        <f t="shared" si="1"/>
        <v>1099.5081359728531</v>
      </c>
      <c r="D59" s="44">
        <v>1</v>
      </c>
      <c r="E59" s="54">
        <f t="shared" si="3"/>
        <v>1.4009457447902463E-2</v>
      </c>
      <c r="F59" s="46">
        <f t="shared" si="4"/>
        <v>15.403512444534242</v>
      </c>
      <c r="G59" s="47">
        <f t="shared" si="5"/>
        <v>15.403512444534242</v>
      </c>
      <c r="H59" s="48">
        <f t="shared" si="6"/>
        <v>0.99999697984179492</v>
      </c>
      <c r="I59" s="49">
        <f t="shared" si="7"/>
        <v>2.3228018470673222E-18</v>
      </c>
      <c r="J59" s="50">
        <f t="shared" si="10"/>
        <v>1.9962083221780403E-15</v>
      </c>
      <c r="K59" s="51">
        <f t="shared" si="11"/>
        <v>2.5539395291032915E-15</v>
      </c>
    </row>
    <row r="62" spans="1:12" ht="15.75" thickBot="1" x14ac:dyDescent="0.3"/>
    <row r="63" spans="1:12" ht="15.75" customHeight="1" thickBot="1" x14ac:dyDescent="0.3">
      <c r="A63" s="55" t="s">
        <v>13</v>
      </c>
      <c r="B63" s="192" t="s">
        <v>61</v>
      </c>
      <c r="C63" s="56" t="s">
        <v>62</v>
      </c>
      <c r="D63" s="57" t="s">
        <v>63</v>
      </c>
      <c r="E63" s="58" t="s">
        <v>64</v>
      </c>
      <c r="G63" s="284" t="s">
        <v>147</v>
      </c>
      <c r="H63" s="284"/>
      <c r="I63" s="284"/>
      <c r="J63" s="284"/>
      <c r="K63" s="59"/>
      <c r="L63" s="59"/>
    </row>
    <row r="64" spans="1:12" x14ac:dyDescent="0.25">
      <c r="A64" s="60">
        <v>1</v>
      </c>
      <c r="B64" s="193">
        <f>O19</f>
        <v>94.464034200823264</v>
      </c>
      <c r="C64" s="61">
        <f>O20</f>
        <v>271.50005264526658</v>
      </c>
      <c r="D64" s="62"/>
      <c r="E64" s="63"/>
      <c r="G64" s="284"/>
      <c r="H64" s="284"/>
      <c r="I64" s="284"/>
      <c r="J64" s="284"/>
      <c r="K64" s="59"/>
      <c r="L64" s="59"/>
    </row>
    <row r="65" spans="1:12" x14ac:dyDescent="0.25">
      <c r="A65" s="64">
        <v>0</v>
      </c>
      <c r="B65" s="194">
        <f t="dataTable" ref="B65:C266" dt2D="0" dtr="0" r1="A64"/>
        <v>0</v>
      </c>
      <c r="C65" s="65">
        <v>946.24351001862487</v>
      </c>
      <c r="D65" s="196">
        <f>INT((B66-B65)/(A66-A65))</f>
        <v>692</v>
      </c>
      <c r="E65" s="66">
        <f>C65/$C$65</f>
        <v>1</v>
      </c>
      <c r="G65" s="284"/>
      <c r="H65" s="284"/>
      <c r="I65" s="284"/>
      <c r="J65" s="284"/>
      <c r="K65" s="59"/>
      <c r="L65" s="59"/>
    </row>
    <row r="66" spans="1:12" x14ac:dyDescent="0.25">
      <c r="A66" s="64">
        <v>9.9999999999999794E-3</v>
      </c>
      <c r="B66" s="194">
        <v>6.9234244731048786</v>
      </c>
      <c r="C66" s="65">
        <v>912.72285826377788</v>
      </c>
      <c r="D66" s="196">
        <f t="shared" ref="D66:D129" si="12">INT((B67-B66)/(A67-A66))</f>
        <v>629</v>
      </c>
      <c r="E66" s="66">
        <f t="shared" ref="E66:E129" si="13">C66/$C$65</f>
        <v>0.96457502598439249</v>
      </c>
      <c r="G66" s="284"/>
      <c r="H66" s="284"/>
      <c r="I66" s="284"/>
      <c r="J66" s="284"/>
      <c r="K66" s="59"/>
      <c r="L66" s="59"/>
    </row>
    <row r="67" spans="1:12" x14ac:dyDescent="0.25">
      <c r="A67" s="64">
        <v>0.02</v>
      </c>
      <c r="B67" s="194">
        <v>13.21397383244488</v>
      </c>
      <c r="C67" s="65">
        <v>881.49854921147619</v>
      </c>
      <c r="D67" s="196">
        <f t="shared" si="12"/>
        <v>572</v>
      </c>
      <c r="E67" s="66">
        <f t="shared" si="13"/>
        <v>0.93157685086170439</v>
      </c>
      <c r="G67" s="284"/>
      <c r="H67" s="284"/>
      <c r="I67" s="284"/>
      <c r="J67" s="284"/>
      <c r="K67" s="59"/>
      <c r="L67" s="59"/>
    </row>
    <row r="68" spans="1:12" x14ac:dyDescent="0.25">
      <c r="A68" s="64">
        <v>0.03</v>
      </c>
      <c r="B68" s="194">
        <v>18.943380947878168</v>
      </c>
      <c r="C68" s="65">
        <v>852.37011639198545</v>
      </c>
      <c r="D68" s="196">
        <f t="shared" si="12"/>
        <v>523</v>
      </c>
      <c r="E68" s="66">
        <f t="shared" si="13"/>
        <v>0.90079361957812343</v>
      </c>
      <c r="G68" s="284"/>
      <c r="H68" s="284"/>
      <c r="I68" s="284"/>
      <c r="J68" s="284"/>
      <c r="K68" s="59"/>
      <c r="L68" s="59"/>
    </row>
    <row r="69" spans="1:12" x14ac:dyDescent="0.25">
      <c r="A69" s="64">
        <v>0.04</v>
      </c>
      <c r="B69" s="194">
        <v>24.173608960769158</v>
      </c>
      <c r="C69" s="65">
        <v>825.15731586433458</v>
      </c>
      <c r="D69" s="196">
        <f t="shared" si="12"/>
        <v>478</v>
      </c>
      <c r="E69" s="66">
        <f t="shared" si="13"/>
        <v>0.87203484845892687</v>
      </c>
      <c r="F69" s="59"/>
      <c r="G69" s="284"/>
      <c r="H69" s="284"/>
      <c r="I69" s="284"/>
      <c r="J69" s="284"/>
      <c r="K69" s="59"/>
    </row>
    <row r="70" spans="1:12" x14ac:dyDescent="0.25">
      <c r="A70" s="64">
        <v>0.05</v>
      </c>
      <c r="B70" s="194">
        <v>28.958404277546553</v>
      </c>
      <c r="C70" s="65">
        <v>799.69788463103748</v>
      </c>
      <c r="D70" s="196">
        <f t="shared" si="12"/>
        <v>438</v>
      </c>
      <c r="E70" s="66">
        <f t="shared" si="13"/>
        <v>0.84512905627780432</v>
      </c>
      <c r="F70" s="59"/>
      <c r="G70" s="284"/>
      <c r="H70" s="284"/>
      <c r="I70" s="284"/>
      <c r="J70" s="284"/>
    </row>
    <row r="71" spans="1:12" x14ac:dyDescent="0.25">
      <c r="A71" s="64">
        <v>0.06</v>
      </c>
      <c r="B71" s="194">
        <v>33.344567980634523</v>
      </c>
      <c r="C71" s="65">
        <v>775.84556410929531</v>
      </c>
      <c r="D71" s="196">
        <f t="shared" si="12"/>
        <v>402</v>
      </c>
      <c r="E71" s="66">
        <f t="shared" si="13"/>
        <v>0.81992167544063199</v>
      </c>
      <c r="G71" s="284"/>
      <c r="H71" s="284"/>
      <c r="I71" s="284"/>
      <c r="J71" s="284"/>
    </row>
    <row r="72" spans="1:12" x14ac:dyDescent="0.25">
      <c r="A72" s="64">
        <v>7.0000000000000007E-2</v>
      </c>
      <c r="B72" s="194">
        <v>37.373002845222629</v>
      </c>
      <c r="C72" s="65">
        <v>753.46835583899906</v>
      </c>
      <c r="D72" s="196">
        <f t="shared" si="12"/>
        <v>370</v>
      </c>
      <c r="E72" s="66">
        <f t="shared" si="13"/>
        <v>0.79627320859951634</v>
      </c>
      <c r="G72" s="284"/>
      <c r="H72" s="284"/>
      <c r="I72" s="284"/>
      <c r="J72" s="284"/>
    </row>
    <row r="73" spans="1:12" x14ac:dyDescent="0.25">
      <c r="A73" s="64">
        <v>0.08</v>
      </c>
      <c r="B73" s="194">
        <v>41.079580329154126</v>
      </c>
      <c r="C73" s="65">
        <v>732.44698081201159</v>
      </c>
      <c r="D73" s="196">
        <f t="shared" si="12"/>
        <v>341</v>
      </c>
      <c r="E73" s="66">
        <f t="shared" si="13"/>
        <v>0.77405760045592797</v>
      </c>
      <c r="G73" s="284"/>
      <c r="H73" s="284"/>
      <c r="I73" s="284"/>
      <c r="J73" s="284"/>
    </row>
    <row r="74" spans="1:12" x14ac:dyDescent="0.25">
      <c r="A74" s="64">
        <v>0.09</v>
      </c>
      <c r="B74" s="194">
        <v>44.495862217116432</v>
      </c>
      <c r="C74" s="65">
        <v>712.67351745878989</v>
      </c>
      <c r="D74" s="196">
        <f t="shared" si="12"/>
        <v>315</v>
      </c>
      <c r="E74" s="66">
        <f t="shared" si="13"/>
        <v>0.75316079837077288</v>
      </c>
      <c r="G74" s="284"/>
      <c r="H74" s="284"/>
      <c r="I74" s="284"/>
      <c r="J74" s="284"/>
    </row>
    <row r="75" spans="1:12" x14ac:dyDescent="0.25">
      <c r="A75" s="64">
        <v>0.1</v>
      </c>
      <c r="B75" s="194">
        <v>47.649704221513588</v>
      </c>
      <c r="C75" s="65">
        <v>694.05019650148495</v>
      </c>
      <c r="D75" s="196">
        <f t="shared" si="12"/>
        <v>291</v>
      </c>
      <c r="E75" s="66">
        <f t="shared" si="13"/>
        <v>0.73347947875259301</v>
      </c>
      <c r="G75" s="284"/>
      <c r="H75" s="284"/>
      <c r="I75" s="284"/>
      <c r="J75" s="284"/>
    </row>
    <row r="76" spans="1:12" x14ac:dyDescent="0.25">
      <c r="A76" s="64">
        <v>0.11</v>
      </c>
      <c r="B76" s="194">
        <v>50.565763177127899</v>
      </c>
      <c r="C76" s="65">
        <v>676.48833364123357</v>
      </c>
      <c r="D76" s="196">
        <f t="shared" si="12"/>
        <v>270</v>
      </c>
      <c r="E76" s="66">
        <f t="shared" si="13"/>
        <v>0.714919919110376</v>
      </c>
      <c r="G76" s="284"/>
      <c r="H76" s="284"/>
      <c r="I76" s="284"/>
      <c r="J76" s="284"/>
    </row>
    <row r="77" spans="1:12" x14ac:dyDescent="0.25">
      <c r="A77" s="64">
        <v>0.12</v>
      </c>
      <c r="B77" s="194">
        <v>53.265925084874318</v>
      </c>
      <c r="C77" s="65">
        <v>659.90738344676538</v>
      </c>
      <c r="D77" s="196">
        <f t="shared" si="12"/>
        <v>250</v>
      </c>
      <c r="E77" s="66">
        <f t="shared" si="13"/>
        <v>0.69739699819317802</v>
      </c>
    </row>
    <row r="78" spans="1:12" x14ac:dyDescent="0.25">
      <c r="A78" s="64">
        <v>0.13</v>
      </c>
      <c r="B78" s="194">
        <v>55.769667847233833</v>
      </c>
      <c r="C78" s="65">
        <v>644.23409989944207</v>
      </c>
      <c r="D78" s="196">
        <f t="shared" si="12"/>
        <v>232</v>
      </c>
      <c r="E78" s="66">
        <f t="shared" si="13"/>
        <v>0.68083330884537496</v>
      </c>
    </row>
    <row r="79" spans="1:12" x14ac:dyDescent="0.25">
      <c r="A79" s="64">
        <v>0.14000000000000001</v>
      </c>
      <c r="B79" s="194">
        <v>58.094369862523187</v>
      </c>
      <c r="C79" s="65">
        <v>629.40179086781347</v>
      </c>
      <c r="D79" s="196">
        <f t="shared" si="12"/>
        <v>216</v>
      </c>
      <c r="E79" s="66">
        <f t="shared" si="13"/>
        <v>0.66515837012760592</v>
      </c>
    </row>
    <row r="80" spans="1:12" ht="15.75" thickBot="1" x14ac:dyDescent="0.3">
      <c r="A80" s="64">
        <v>0.15</v>
      </c>
      <c r="B80" s="194">
        <v>60.255573534686398</v>
      </c>
      <c r="C80" s="65">
        <v>615.34965536839252</v>
      </c>
      <c r="D80" s="196">
        <f t="shared" si="12"/>
        <v>201</v>
      </c>
      <c r="E80" s="66">
        <f t="shared" si="13"/>
        <v>0.65030792692705564</v>
      </c>
    </row>
    <row r="81" spans="1:12" ht="18" x14ac:dyDescent="0.25">
      <c r="A81" s="64">
        <v>0.16</v>
      </c>
      <c r="B81" s="194">
        <v>62.26721108067607</v>
      </c>
      <c r="C81" s="65">
        <v>602.02219384960313</v>
      </c>
      <c r="D81" s="196">
        <f t="shared" si="12"/>
        <v>187</v>
      </c>
      <c r="E81" s="66">
        <f t="shared" si="13"/>
        <v>0.63622332673938609</v>
      </c>
      <c r="G81" s="67" t="s">
        <v>65</v>
      </c>
      <c r="H81" s="289">
        <f>MAX(B65:B266)</f>
        <v>94.611968665777681</v>
      </c>
      <c r="I81" s="289"/>
      <c r="J81" s="285" t="s">
        <v>61</v>
      </c>
    </row>
    <row r="82" spans="1:12" ht="18" x14ac:dyDescent="0.25">
      <c r="A82" s="64">
        <v>0.17</v>
      </c>
      <c r="B82" s="194">
        <v>64.141798681295896</v>
      </c>
      <c r="C82" s="65">
        <v>589.36868293948339</v>
      </c>
      <c r="D82" s="196">
        <f t="shared" si="12"/>
        <v>174</v>
      </c>
      <c r="E82" s="66">
        <f t="shared" si="13"/>
        <v>0.62285096457663724</v>
      </c>
      <c r="G82" s="68" t="s">
        <v>66</v>
      </c>
      <c r="H82" s="290">
        <f>INDEX(A65:A266,MATCH(H81,B65:B266,0))</f>
        <v>1.19</v>
      </c>
      <c r="I82" s="290"/>
      <c r="J82" s="286"/>
    </row>
    <row r="83" spans="1:12" x14ac:dyDescent="0.25">
      <c r="A83" s="64">
        <v>0.18</v>
      </c>
      <c r="B83" s="194">
        <v>65.890603949554617</v>
      </c>
      <c r="C83" s="65">
        <v>577.34270714789386</v>
      </c>
      <c r="D83" s="196">
        <f t="shared" si="12"/>
        <v>163</v>
      </c>
      <c r="E83" s="66">
        <f t="shared" si="13"/>
        <v>0.61014178806524133</v>
      </c>
      <c r="G83" s="69" t="s">
        <v>67</v>
      </c>
      <c r="H83" s="290">
        <f>INT(0.1*D65)</f>
        <v>69</v>
      </c>
      <c r="I83" s="290"/>
      <c r="J83" s="286"/>
    </row>
    <row r="84" spans="1:12" ht="18" x14ac:dyDescent="0.25">
      <c r="A84" s="64">
        <v>0.19</v>
      </c>
      <c r="B84" s="194">
        <v>67.523790826488593</v>
      </c>
      <c r="C84" s="65">
        <v>565.90174093080304</v>
      </c>
      <c r="D84" s="196">
        <f t="shared" si="12"/>
        <v>152</v>
      </c>
      <c r="E84" s="66">
        <f t="shared" si="13"/>
        <v>0.59805085576720562</v>
      </c>
      <c r="G84" s="68" t="s">
        <v>68</v>
      </c>
      <c r="H84" s="70" t="e">
        <f>INDEX(A65:A266,MATCH(H83,D65:D266,0))</f>
        <v>#N/A</v>
      </c>
      <c r="I84" s="70">
        <f>0.32</f>
        <v>0.32</v>
      </c>
      <c r="J84" s="286"/>
    </row>
    <row r="85" spans="1:12" ht="18" x14ac:dyDescent="0.25">
      <c r="A85" s="64">
        <v>0.2</v>
      </c>
      <c r="B85" s="194">
        <v>69.050545314443312</v>
      </c>
      <c r="C85" s="65">
        <v>555.00677532504267</v>
      </c>
      <c r="D85" s="196">
        <f t="shared" si="12"/>
        <v>142</v>
      </c>
      <c r="E85" s="66">
        <f t="shared" si="13"/>
        <v>0.58653694260383193</v>
      </c>
      <c r="G85" s="68" t="s">
        <v>69</v>
      </c>
      <c r="H85" s="70" t="e">
        <f>INDEX(B65:B266,MATCH(H83,D65:D266,0))</f>
        <v>#N/A</v>
      </c>
      <c r="I85" s="70">
        <f>INDEX(B65:B266,MATCH(I84,A65:A266,0))</f>
        <v>81.464202352378948</v>
      </c>
      <c r="J85" s="286"/>
    </row>
    <row r="86" spans="1:12" x14ac:dyDescent="0.25">
      <c r="A86" s="64">
        <v>0.21</v>
      </c>
      <c r="B86" s="194">
        <v>70.479184888191256</v>
      </c>
      <c r="C86" s="65">
        <v>544.62198406186928</v>
      </c>
      <c r="D86" s="196">
        <f t="shared" si="12"/>
        <v>133</v>
      </c>
      <c r="E86" s="66">
        <f t="shared" si="13"/>
        <v>0.57556218700104955</v>
      </c>
      <c r="G86" s="68" t="s">
        <v>149</v>
      </c>
      <c r="H86" s="290">
        <f>0.3*C65</f>
        <v>283.87305300558745</v>
      </c>
      <c r="I86" s="290"/>
      <c r="J86" s="287" t="s">
        <v>62</v>
      </c>
    </row>
    <row r="87" spans="1:12" x14ac:dyDescent="0.25">
      <c r="A87" s="64">
        <v>0.22</v>
      </c>
      <c r="B87" s="194">
        <v>71.817253958704001</v>
      </c>
      <c r="C87" s="65">
        <v>534.71442467977226</v>
      </c>
      <c r="D87" s="196">
        <f t="shared" si="12"/>
        <v>125</v>
      </c>
      <c r="E87" s="66">
        <f t="shared" si="13"/>
        <v>0.56509177502231689</v>
      </c>
      <c r="G87" s="68" t="s">
        <v>72</v>
      </c>
      <c r="H87" s="290">
        <v>0.53</v>
      </c>
      <c r="I87" s="290"/>
      <c r="J87" s="287"/>
    </row>
    <row r="88" spans="1:12" x14ac:dyDescent="0.25">
      <c r="A88" s="64">
        <v>0.23</v>
      </c>
      <c r="B88" s="194">
        <v>73.071607382293678</v>
      </c>
      <c r="C88" s="65">
        <v>525.25377069259798</v>
      </c>
      <c r="D88" s="196">
        <f t="shared" si="12"/>
        <v>117</v>
      </c>
      <c r="E88" s="66">
        <f t="shared" si="13"/>
        <v>0.55509365732110483</v>
      </c>
      <c r="G88" s="68" t="s">
        <v>150</v>
      </c>
      <c r="H88" s="290">
        <f>0.2*C65</f>
        <v>189.24870200372499</v>
      </c>
      <c r="I88" s="290"/>
      <c r="J88" s="287"/>
    </row>
    <row r="89" spans="1:12" x14ac:dyDescent="0.25">
      <c r="A89" s="64">
        <v>0.24</v>
      </c>
      <c r="B89" s="194">
        <v>74.248483692982418</v>
      </c>
      <c r="C89" s="65">
        <v>516.21207133806047</v>
      </c>
      <c r="D89" s="196">
        <f t="shared" si="12"/>
        <v>110</v>
      </c>
      <c r="E89" s="66">
        <f t="shared" si="13"/>
        <v>0.54553829524061925</v>
      </c>
      <c r="G89" s="68" t="s">
        <v>71</v>
      </c>
      <c r="H89" s="290">
        <v>1.25</v>
      </c>
      <c r="I89" s="290"/>
      <c r="J89" s="287"/>
    </row>
    <row r="90" spans="1:12" x14ac:dyDescent="0.25">
      <c r="A90" s="64">
        <v>0.25</v>
      </c>
      <c r="B90" s="194">
        <v>75.353569475515087</v>
      </c>
      <c r="C90" s="65">
        <v>507.56353584260205</v>
      </c>
      <c r="D90" s="196">
        <f t="shared" si="12"/>
        <v>103</v>
      </c>
      <c r="E90" s="66">
        <f t="shared" si="13"/>
        <v>0.53639843282265864</v>
      </c>
      <c r="G90" s="68" t="s">
        <v>148</v>
      </c>
      <c r="H90" s="290">
        <f>0.1*C65</f>
        <v>94.624351001862493</v>
      </c>
      <c r="I90" s="290"/>
      <c r="J90" s="287"/>
    </row>
    <row r="91" spans="1:12" ht="15.75" thickBot="1" x14ac:dyDescent="0.3">
      <c r="A91" s="64">
        <v>0.26</v>
      </c>
      <c r="B91" s="194">
        <v>76.392056080216435</v>
      </c>
      <c r="C91" s="65">
        <v>499.28433949881435</v>
      </c>
      <c r="D91" s="196">
        <f t="shared" si="12"/>
        <v>97</v>
      </c>
      <c r="E91" s="66">
        <f t="shared" si="13"/>
        <v>0.52764889186821151</v>
      </c>
      <c r="G91" s="71" t="s">
        <v>70</v>
      </c>
      <c r="H91" s="291" t="s">
        <v>151</v>
      </c>
      <c r="I91" s="291"/>
      <c r="J91" s="288"/>
    </row>
    <row r="92" spans="1:12" x14ac:dyDescent="0.25">
      <c r="A92" s="64">
        <v>0.27</v>
      </c>
      <c r="B92" s="194">
        <v>77.368689700757642</v>
      </c>
      <c r="C92" s="65">
        <v>491.35244916764918</v>
      </c>
      <c r="D92" s="196">
        <f t="shared" si="12"/>
        <v>91</v>
      </c>
      <c r="E92" s="66">
        <f t="shared" si="13"/>
        <v>0.51926638752637566</v>
      </c>
    </row>
    <row r="93" spans="1:12" x14ac:dyDescent="0.25">
      <c r="A93" s="64">
        <v>0.28000000000000003</v>
      </c>
      <c r="B93" s="194">
        <v>78.287815685318577</v>
      </c>
      <c r="C93" s="65">
        <v>483.74746609507849</v>
      </c>
      <c r="D93" s="196">
        <f t="shared" si="12"/>
        <v>86</v>
      </c>
      <c r="E93" s="66">
        <f t="shared" si="13"/>
        <v>0.51122936218136583</v>
      </c>
    </row>
    <row r="94" spans="1:12" x14ac:dyDescent="0.25">
      <c r="A94" s="64">
        <v>0.28999999999999998</v>
      </c>
      <c r="B94" s="194">
        <v>79.153417825348996</v>
      </c>
      <c r="C94" s="65">
        <v>476.4504841765476</v>
      </c>
      <c r="D94" s="196">
        <f t="shared" si="12"/>
        <v>81</v>
      </c>
      <c r="E94" s="66">
        <f t="shared" si="13"/>
        <v>0.50351783566491215</v>
      </c>
      <c r="L94" s="1"/>
    </row>
    <row r="95" spans="1:12" x14ac:dyDescent="0.25">
      <c r="A95" s="64">
        <v>0.3</v>
      </c>
      <c r="B95" s="194">
        <v>79.969153259895762</v>
      </c>
      <c r="C95" s="65">
        <v>469.4439620167982</v>
      </c>
      <c r="D95" s="196">
        <f t="shared" si="12"/>
        <v>76</v>
      </c>
      <c r="E95" s="66">
        <f t="shared" si="13"/>
        <v>0.49611327004774719</v>
      </c>
    </row>
    <row r="96" spans="1:12" x14ac:dyDescent="0.25">
      <c r="A96" s="64">
        <v>0.31</v>
      </c>
      <c r="B96" s="194">
        <v>80.738383543820902</v>
      </c>
      <c r="C96" s="65">
        <v>462.71160732105284</v>
      </c>
      <c r="D96" s="196">
        <f t="shared" si="12"/>
        <v>72</v>
      </c>
      <c r="E96" s="66">
        <f t="shared" si="13"/>
        <v>0.48899844746300591</v>
      </c>
    </row>
    <row r="97" spans="1:5" x14ac:dyDescent="0.25">
      <c r="A97" s="64">
        <v>0.32</v>
      </c>
      <c r="B97" s="194">
        <v>81.464202352378948</v>
      </c>
      <c r="C97" s="65">
        <v>456.23827231944375</v>
      </c>
      <c r="D97" s="196">
        <f t="shared" si="12"/>
        <v>68</v>
      </c>
      <c r="E97" s="66">
        <f t="shared" si="13"/>
        <v>0.48215735958967226</v>
      </c>
    </row>
    <row r="98" spans="1:5" x14ac:dyDescent="0.25">
      <c r="A98" s="64">
        <v>0.33</v>
      </c>
      <c r="B98" s="194">
        <v>82.149460230248323</v>
      </c>
      <c r="C98" s="65">
        <v>450.00985907266164</v>
      </c>
      <c r="D98" s="196">
        <f t="shared" si="12"/>
        <v>64</v>
      </c>
      <c r="E98" s="66">
        <f t="shared" si="13"/>
        <v>0.47557510757860216</v>
      </c>
    </row>
    <row r="99" spans="1:5" x14ac:dyDescent="0.25">
      <c r="A99" s="64">
        <v>0.34</v>
      </c>
      <c r="B99" s="194">
        <v>82.796786738338724</v>
      </c>
      <c r="C99" s="65">
        <v>444.01323363561738</v>
      </c>
      <c r="D99" s="196">
        <f t="shared" si="12"/>
        <v>61</v>
      </c>
      <c r="E99" s="66">
        <f t="shared" si="13"/>
        <v>0.46923781133978704</v>
      </c>
    </row>
    <row r="100" spans="1:5" x14ac:dyDescent="0.25">
      <c r="A100" s="64">
        <v>0.35</v>
      </c>
      <c r="B100" s="194">
        <v>83.408610304969258</v>
      </c>
      <c r="C100" s="65">
        <v>438.23614816952164</v>
      </c>
      <c r="D100" s="196">
        <f t="shared" si="12"/>
        <v>57</v>
      </c>
      <c r="E100" s="66">
        <f t="shared" si="13"/>
        <v>0.46313252722958792</v>
      </c>
    </row>
    <row r="101" spans="1:5" x14ac:dyDescent="0.25">
      <c r="A101" s="64">
        <v>0.36</v>
      </c>
      <c r="B101" s="194">
        <v>83.98717604804925</v>
      </c>
      <c r="C101" s="65">
        <v>432.66717019310852</v>
      </c>
      <c r="D101" s="196">
        <f t="shared" si="12"/>
        <v>54</v>
      </c>
      <c r="E101" s="66">
        <f t="shared" si="13"/>
        <v>0.4572471732826916</v>
      </c>
    </row>
    <row r="102" spans="1:5" x14ac:dyDescent="0.25">
      <c r="A102" s="64">
        <v>0.37</v>
      </c>
      <c r="B102" s="194">
        <v>84.534561800631252</v>
      </c>
      <c r="C102" s="65">
        <v>427.29561825233958</v>
      </c>
      <c r="D102" s="196">
        <f t="shared" si="12"/>
        <v>51</v>
      </c>
      <c r="E102" s="66">
        <f t="shared" si="13"/>
        <v>0.45157046122718364</v>
      </c>
    </row>
    <row r="103" spans="1:5" x14ac:dyDescent="0.25">
      <c r="A103" s="64">
        <v>0.38</v>
      </c>
      <c r="B103" s="194">
        <v>85.052692542765641</v>
      </c>
      <c r="C103" s="65">
        <v>422.11150336629129</v>
      </c>
      <c r="D103" s="196">
        <f t="shared" si="12"/>
        <v>49</v>
      </c>
      <c r="E103" s="66">
        <f t="shared" si="13"/>
        <v>0.44609183460395185</v>
      </c>
    </row>
    <row r="104" spans="1:5" x14ac:dyDescent="0.25">
      <c r="A104" s="64">
        <v>0.39</v>
      </c>
      <c r="B104" s="194">
        <v>85.543353417226584</v>
      </c>
      <c r="C104" s="65">
        <v>417.10547567625252</v>
      </c>
      <c r="D104" s="196">
        <f t="shared" si="12"/>
        <v>46</v>
      </c>
      <c r="E104" s="66">
        <f t="shared" si="13"/>
        <v>0.44080141238489728</v>
      </c>
    </row>
    <row r="105" spans="1:5" x14ac:dyDescent="0.25">
      <c r="A105" s="64">
        <v>0.4</v>
      </c>
      <c r="B105" s="194">
        <v>86.008201484790149</v>
      </c>
      <c r="C105" s="65">
        <v>412.26877578646025</v>
      </c>
      <c r="D105" s="196">
        <f t="shared" si="12"/>
        <v>44</v>
      </c>
      <c r="E105" s="66">
        <f t="shared" si="13"/>
        <v>0.43568993754931601</v>
      </c>
    </row>
    <row r="106" spans="1:5" x14ac:dyDescent="0.25">
      <c r="A106" s="64">
        <v>0.41</v>
      </c>
      <c r="B106" s="194">
        <v>86.44877635581058</v>
      </c>
      <c r="C106" s="65">
        <v>407.59319033930359</v>
      </c>
      <c r="D106" s="196">
        <f t="shared" si="12"/>
        <v>41</v>
      </c>
      <c r="E106" s="66">
        <f t="shared" si="13"/>
        <v>0.43074873013531256</v>
      </c>
    </row>
    <row r="107" spans="1:5" x14ac:dyDescent="0.25">
      <c r="A107" s="64">
        <v>0.42</v>
      </c>
      <c r="B107" s="194">
        <v>86.866509818427161</v>
      </c>
      <c r="C107" s="65">
        <v>403.07101141609297</v>
      </c>
      <c r="D107" s="196">
        <f t="shared" si="12"/>
        <v>39</v>
      </c>
      <c r="E107" s="66">
        <f t="shared" si="13"/>
        <v>0.42596964433410944</v>
      </c>
    </row>
    <row r="108" spans="1:5" x14ac:dyDescent="0.25">
      <c r="A108" s="64">
        <v>0.43</v>
      </c>
      <c r="B108" s="194">
        <v>87.262734569476834</v>
      </c>
      <c r="C108" s="65">
        <v>398.69499939731577</v>
      </c>
      <c r="D108" s="196">
        <f t="shared" si="12"/>
        <v>37</v>
      </c>
      <c r="E108" s="66">
        <f t="shared" si="13"/>
        <v>0.42134502924037837</v>
      </c>
    </row>
    <row r="109" spans="1:5" x14ac:dyDescent="0.25">
      <c r="A109" s="64">
        <v>0.44</v>
      </c>
      <c r="B109" s="194">
        <v>87.638692141781945</v>
      </c>
      <c r="C109" s="65">
        <v>394.45834895435632</v>
      </c>
      <c r="D109" s="196">
        <f t="shared" si="12"/>
        <v>35</v>
      </c>
      <c r="E109" s="66">
        <f t="shared" si="13"/>
        <v>0.41686769291193576</v>
      </c>
    </row>
    <row r="110" spans="1:5" x14ac:dyDescent="0.25">
      <c r="A110" s="64">
        <v>0.45</v>
      </c>
      <c r="B110" s="194">
        <v>87.995540110662517</v>
      </c>
      <c r="C110" s="65">
        <v>390.35465787849057</v>
      </c>
      <c r="D110" s="196">
        <f t="shared" si="12"/>
        <v>33</v>
      </c>
      <c r="E110" s="66">
        <f t="shared" si="13"/>
        <v>0.4125308694278994</v>
      </c>
    </row>
    <row r="111" spans="1:5" x14ac:dyDescent="0.25">
      <c r="A111" s="64">
        <v>0.46</v>
      </c>
      <c r="B111" s="194">
        <v>88.334358653074119</v>
      </c>
      <c r="C111" s="65">
        <v>386.37789848306164</v>
      </c>
      <c r="D111" s="196">
        <f t="shared" si="12"/>
        <v>32</v>
      </c>
      <c r="E111" s="66">
        <f t="shared" si="13"/>
        <v>0.40832818866620979</v>
      </c>
    </row>
    <row r="112" spans="1:5" x14ac:dyDescent="0.25">
      <c r="A112" s="64">
        <v>0.47</v>
      </c>
      <c r="B112" s="194">
        <v>88.656156524501753</v>
      </c>
      <c r="C112" s="65">
        <v>382.52239134155803</v>
      </c>
      <c r="D112" s="196">
        <f t="shared" si="12"/>
        <v>30</v>
      </c>
      <c r="E112" s="66">
        <f t="shared" si="13"/>
        <v>0.40425364854975743</v>
      </c>
    </row>
    <row r="113" spans="1:5" x14ac:dyDescent="0.25">
      <c r="A113" s="64">
        <v>0.48</v>
      </c>
      <c r="B113" s="194">
        <v>88.961876511490516</v>
      </c>
      <c r="C113" s="65">
        <v>378.78278114819949</v>
      </c>
      <c r="D113" s="196">
        <f t="shared" si="12"/>
        <v>29</v>
      </c>
      <c r="E113" s="66">
        <f t="shared" si="13"/>
        <v>0.40030158953559841</v>
      </c>
    </row>
    <row r="114" spans="1:5" x14ac:dyDescent="0.25">
      <c r="A114" s="64">
        <v>0.49</v>
      </c>
      <c r="B114" s="194">
        <v>89.252400411329234</v>
      </c>
      <c r="C114" s="65">
        <v>375.15401450895763</v>
      </c>
      <c r="D114" s="196">
        <f t="shared" si="12"/>
        <v>27</v>
      </c>
      <c r="E114" s="66">
        <f t="shared" si="13"/>
        <v>0.39646667114427392</v>
      </c>
    </row>
    <row r="115" spans="1:5" x14ac:dyDescent="0.25">
      <c r="A115" s="64">
        <v>0.5</v>
      </c>
      <c r="B115" s="194">
        <v>89.528553584802154</v>
      </c>
      <c r="C115" s="65">
        <v>371.63131948995687</v>
      </c>
      <c r="D115" s="196">
        <f t="shared" si="12"/>
        <v>26</v>
      </c>
      <c r="E115" s="66">
        <f t="shared" si="13"/>
        <v>0.39274385034634696</v>
      </c>
    </row>
    <row r="116" spans="1:5" x14ac:dyDescent="0.25">
      <c r="A116" s="64">
        <v>0.51</v>
      </c>
      <c r="B116" s="194">
        <v>89.79110912299349</v>
      </c>
      <c r="C116" s="65">
        <v>368.21018676720558</v>
      </c>
      <c r="D116" s="196">
        <f t="shared" si="12"/>
        <v>24</v>
      </c>
      <c r="E116" s="66">
        <f t="shared" si="13"/>
        <v>0.38912836164124193</v>
      </c>
    </row>
    <row r="117" spans="1:5" x14ac:dyDescent="0.25">
      <c r="A117" s="64">
        <v>0.52</v>
      </c>
      <c r="B117" s="194">
        <v>90.040791664774432</v>
      </c>
      <c r="C117" s="65">
        <v>364.88635223681399</v>
      </c>
      <c r="D117" s="196">
        <f t="shared" si="12"/>
        <v>23</v>
      </c>
      <c r="E117" s="66">
        <f t="shared" si="13"/>
        <v>0.38561569867954176</v>
      </c>
    </row>
    <row r="118" spans="1:5" x14ac:dyDescent="0.25">
      <c r="A118" s="64">
        <v>0.53</v>
      </c>
      <c r="B118" s="194">
        <v>90.278280897759004</v>
      </c>
      <c r="C118" s="65">
        <v>361.65578095845643</v>
      </c>
      <c r="D118" s="196">
        <f t="shared" si="12"/>
        <v>22</v>
      </c>
      <c r="E118" s="66">
        <f t="shared" si="13"/>
        <v>0.3822015972942715</v>
      </c>
    </row>
    <row r="119" spans="1:5" x14ac:dyDescent="0.25">
      <c r="A119" s="64">
        <v>0.54</v>
      </c>
      <c r="B119" s="194">
        <v>90.504214772108881</v>
      </c>
      <c r="C119" s="65">
        <v>358.51465231702872</v>
      </c>
      <c r="D119" s="196">
        <f t="shared" si="12"/>
        <v>21</v>
      </c>
      <c r="E119" s="66">
        <f t="shared" si="13"/>
        <v>0.3788820198195833</v>
      </c>
    </row>
    <row r="120" spans="1:5" x14ac:dyDescent="0.25">
      <c r="A120" s="64">
        <v>0.55000000000000004</v>
      </c>
      <c r="B120" s="194">
        <v>90.71919245355167</v>
      </c>
      <c r="C120" s="65">
        <v>355.45934629837893</v>
      </c>
      <c r="D120" s="196">
        <f t="shared" si="12"/>
        <v>20</v>
      </c>
      <c r="E120" s="66">
        <f t="shared" si="13"/>
        <v>0.37565314058680566</v>
      </c>
    </row>
    <row r="121" spans="1:5" x14ac:dyDescent="0.25">
      <c r="A121" s="64">
        <v>0.56000000000000005</v>
      </c>
      <c r="B121" s="194">
        <v>90.923777039299395</v>
      </c>
      <c r="C121" s="65">
        <v>352.48643078479824</v>
      </c>
      <c r="D121" s="196">
        <f t="shared" si="12"/>
        <v>19</v>
      </c>
      <c r="E121" s="66">
        <f t="shared" si="13"/>
        <v>0.37251133249818569</v>
      </c>
    </row>
    <row r="122" spans="1:5" x14ac:dyDescent="0.25">
      <c r="A122" s="64">
        <v>0.56999999999999995</v>
      </c>
      <c r="B122" s="194">
        <v>91.118498058173472</v>
      </c>
      <c r="C122" s="65">
        <v>349.59264978476045</v>
      </c>
      <c r="D122" s="196">
        <f t="shared" si="12"/>
        <v>18</v>
      </c>
      <c r="E122" s="66">
        <f t="shared" si="13"/>
        <v>0.3694531545879553</v>
      </c>
    </row>
    <row r="123" spans="1:5" x14ac:dyDescent="0.25">
      <c r="A123" s="64">
        <v>0.57999999999999996</v>
      </c>
      <c r="B123" s="194">
        <v>91.303853774125827</v>
      </c>
      <c r="C123" s="65">
        <v>346.77491251931775</v>
      </c>
      <c r="D123" s="196">
        <f t="shared" si="12"/>
        <v>17</v>
      </c>
      <c r="E123" s="66">
        <f t="shared" si="13"/>
        <v>0.36647534048872071</v>
      </c>
    </row>
    <row r="124" spans="1:5" x14ac:dyDescent="0.25">
      <c r="A124" s="64">
        <v>0.59</v>
      </c>
      <c r="B124" s="194">
        <v>91.480313310456438</v>
      </c>
      <c r="C124" s="65">
        <v>344.03028329468543</v>
      </c>
      <c r="D124" s="196">
        <f t="shared" si="12"/>
        <v>16</v>
      </c>
      <c r="E124" s="66">
        <f t="shared" si="13"/>
        <v>0.36357478772870411</v>
      </c>
    </row>
    <row r="125" spans="1:5" x14ac:dyDescent="0.25">
      <c r="A125" s="64">
        <v>0.6</v>
      </c>
      <c r="B125" s="194">
        <v>91.648318610346536</v>
      </c>
      <c r="C125" s="65">
        <v>341.35597209694998</v>
      </c>
      <c r="D125" s="196">
        <f t="shared" si="12"/>
        <v>15</v>
      </c>
      <c r="E125" s="66">
        <f t="shared" si="13"/>
        <v>0.36074854779213344</v>
      </c>
    </row>
    <row r="126" spans="1:5" x14ac:dyDescent="0.25">
      <c r="A126" s="64">
        <v>0.61</v>
      </c>
      <c r="B126" s="194">
        <v>91.808286247818373</v>
      </c>
      <c r="C126" s="65">
        <v>338.74932585062373</v>
      </c>
      <c r="D126" s="196">
        <f t="shared" si="12"/>
        <v>15</v>
      </c>
      <c r="E126" s="66">
        <f t="shared" si="13"/>
        <v>0.35799381688119175</v>
      </c>
    </row>
    <row r="127" spans="1:5" x14ac:dyDescent="0.25">
      <c r="A127" s="64">
        <v>0.62</v>
      </c>
      <c r="B127" s="194">
        <v>91.960609101890256</v>
      </c>
      <c r="C127" s="65">
        <v>336.20782028797396</v>
      </c>
      <c r="D127" s="196">
        <f t="shared" si="12"/>
        <v>14</v>
      </c>
      <c r="E127" s="66">
        <f t="shared" si="13"/>
        <v>0.35530792732343958</v>
      </c>
    </row>
    <row r="128" spans="1:5" x14ac:dyDescent="0.25">
      <c r="A128" s="64">
        <v>0.63</v>
      </c>
      <c r="B128" s="194">
        <v>92.105657905488187</v>
      </c>
      <c r="C128" s="65">
        <v>333.72905238076095</v>
      </c>
      <c r="D128" s="196">
        <f t="shared" si="12"/>
        <v>13</v>
      </c>
      <c r="E128" s="66">
        <f t="shared" si="13"/>
        <v>0.35268833957359685</v>
      </c>
    </row>
    <row r="129" spans="1:5" x14ac:dyDescent="0.25">
      <c r="A129" s="64">
        <v>0.64</v>
      </c>
      <c r="B129" s="194">
        <v>92.243782679594972</v>
      </c>
      <c r="C129" s="65">
        <v>331.31073329026731</v>
      </c>
      <c r="D129" s="196">
        <f t="shared" si="12"/>
        <v>13</v>
      </c>
      <c r="E129" s="66">
        <f t="shared" si="13"/>
        <v>0.35013263476306022</v>
      </c>
    </row>
    <row r="130" spans="1:5" x14ac:dyDescent="0.25">
      <c r="A130" s="64">
        <v>0.65</v>
      </c>
      <c r="B130" s="194">
        <v>92.375314062148462</v>
      </c>
      <c r="C130" s="65">
        <v>328.95068179534616</v>
      </c>
      <c r="D130" s="196">
        <f t="shared" ref="D130:D193" si="14">INT((B131-B130)/(A131-A130))</f>
        <v>12</v>
      </c>
      <c r="E130" s="66">
        <f t="shared" ref="E130:E193" si="15">C130/$C$65</f>
        <v>0.34763850775459632</v>
      </c>
    </row>
    <row r="131" spans="1:5" x14ac:dyDescent="0.25">
      <c r="A131" s="64">
        <v>0.66</v>
      </c>
      <c r="B131" s="194">
        <v>92.500564540328966</v>
      </c>
      <c r="C131" s="65">
        <v>326.64681816169303</v>
      </c>
      <c r="D131" s="196">
        <f t="shared" si="14"/>
        <v>11</v>
      </c>
      <c r="E131" s="66">
        <f t="shared" si="15"/>
        <v>0.34520376066332403</v>
      </c>
    </row>
    <row r="132" spans="1:5" x14ac:dyDescent="0.25">
      <c r="A132" s="64">
        <v>0.67</v>
      </c>
      <c r="B132" s="194">
        <v>92.619829594089339</v>
      </c>
      <c r="C132" s="65">
        <v>324.39715841868929</v>
      </c>
      <c r="D132" s="196">
        <f t="shared" si="14"/>
        <v>11</v>
      </c>
      <c r="E132" s="66">
        <f t="shared" si="15"/>
        <v>0.34282629680842325</v>
      </c>
    </row>
    <row r="133" spans="1:5" x14ac:dyDescent="0.25">
      <c r="A133" s="64">
        <v>0.68</v>
      </c>
      <c r="B133" s="194">
        <v>92.733388758079613</v>
      </c>
      <c r="C133" s="65">
        <v>322.19980901303177</v>
      </c>
      <c r="D133" s="196">
        <f t="shared" si="14"/>
        <v>10</v>
      </c>
      <c r="E133" s="66">
        <f t="shared" si="15"/>
        <v>0.3405041150630348</v>
      </c>
    </row>
    <row r="134" spans="1:5" x14ac:dyDescent="0.25">
      <c r="A134" s="64">
        <v>0.69</v>
      </c>
      <c r="B134" s="194">
        <v>92.841506608474916</v>
      </c>
      <c r="C134" s="65">
        <v>320.05296181094093</v>
      </c>
      <c r="D134" s="196">
        <f t="shared" si="14"/>
        <v>10</v>
      </c>
      <c r="E134" s="66">
        <f t="shared" si="15"/>
        <v>0.33823530457254214</v>
      </c>
    </row>
    <row r="135" spans="1:5" x14ac:dyDescent="0.25">
      <c r="A135" s="64">
        <v>0.7</v>
      </c>
      <c r="B135" s="194">
        <v>92.944433680648771</v>
      </c>
      <c r="C135" s="65">
        <v>317.95488942310044</v>
      </c>
      <c r="D135" s="196">
        <f t="shared" si="14"/>
        <v>9</v>
      </c>
      <c r="E135" s="66">
        <f t="shared" si="15"/>
        <v>0.33601803981391865</v>
      </c>
    </row>
    <row r="136" spans="1:5" x14ac:dyDescent="0.25">
      <c r="A136" s="64">
        <v>0.71</v>
      </c>
      <c r="B136" s="194">
        <v>93.042407323105365</v>
      </c>
      <c r="C136" s="65">
        <v>315.90394082861064</v>
      </c>
      <c r="D136" s="196">
        <f t="shared" si="14"/>
        <v>9</v>
      </c>
      <c r="E136" s="66">
        <f t="shared" si="15"/>
        <v>0.33385057597107609</v>
      </c>
    </row>
    <row r="137" spans="1:5" x14ac:dyDescent="0.25">
      <c r="A137" s="64">
        <v>0.72</v>
      </c>
      <c r="B137" s="194">
        <v>93.135652492625212</v>
      </c>
      <c r="C137" s="65">
        <v>313.89853727618788</v>
      </c>
      <c r="D137" s="196">
        <f t="shared" si="14"/>
        <v>8</v>
      </c>
      <c r="E137" s="66">
        <f t="shared" si="15"/>
        <v>0.33173124460320941</v>
      </c>
    </row>
    <row r="138" spans="1:5" x14ac:dyDescent="0.25">
      <c r="A138" s="64">
        <v>0.73</v>
      </c>
      <c r="B138" s="194">
        <v>93.224382495144027</v>
      </c>
      <c r="C138" s="65">
        <v>311.93716844260507</v>
      </c>
      <c r="D138" s="196">
        <f t="shared" si="14"/>
        <v>8</v>
      </c>
      <c r="E138" s="66">
        <f t="shared" si="15"/>
        <v>0.32965844958499657</v>
      </c>
    </row>
    <row r="139" spans="1:5" x14ac:dyDescent="0.25">
      <c r="A139" s="64">
        <v>0.74</v>
      </c>
      <c r="B139" s="194">
        <v>93.308799676507604</v>
      </c>
      <c r="C139" s="65">
        <v>310.01838882998339</v>
      </c>
      <c r="D139" s="196">
        <f t="shared" si="14"/>
        <v>8</v>
      </c>
      <c r="E139" s="66">
        <f t="shared" si="15"/>
        <v>0.32763066329921914</v>
      </c>
    </row>
    <row r="140" spans="1:5" x14ac:dyDescent="0.25">
      <c r="A140" s="64">
        <v>0.75</v>
      </c>
      <c r="B140" s="194">
        <v>93.389096066890858</v>
      </c>
      <c r="C140" s="65">
        <v>308.14081438501029</v>
      </c>
      <c r="D140" s="196">
        <f t="shared" si="14"/>
        <v>7</v>
      </c>
      <c r="E140" s="66">
        <f t="shared" si="15"/>
        <v>0.32564642306391633</v>
      </c>
    </row>
    <row r="141" spans="1:5" x14ac:dyDescent="0.25">
      <c r="A141" s="64">
        <v>0.76</v>
      </c>
      <c r="B141" s="194">
        <v>93.465453982355868</v>
      </c>
      <c r="C141" s="65">
        <v>306.30311932449951</v>
      </c>
      <c r="D141" s="196">
        <f t="shared" si="14"/>
        <v>7</v>
      </c>
      <c r="E141" s="66">
        <f t="shared" si="15"/>
        <v>0.32370432777760405</v>
      </c>
    </row>
    <row r="142" spans="1:5" x14ac:dyDescent="0.25">
      <c r="A142" s="64">
        <v>0.77</v>
      </c>
      <c r="B142" s="194">
        <v>93.538046586733984</v>
      </c>
      <c r="C142" s="65">
        <v>304.50403315293653</v>
      </c>
      <c r="D142" s="196">
        <f t="shared" si="14"/>
        <v>6</v>
      </c>
      <c r="E142" s="66">
        <f t="shared" si="15"/>
        <v>0.32180303476738559</v>
      </c>
    </row>
    <row r="143" spans="1:5" x14ac:dyDescent="0.25">
      <c r="A143" s="64">
        <v>0.78</v>
      </c>
      <c r="B143" s="194">
        <v>93.607038416756467</v>
      </c>
      <c r="C143" s="65">
        <v>302.74233785876032</v>
      </c>
      <c r="D143" s="196">
        <f t="shared" si="14"/>
        <v>6</v>
      </c>
      <c r="E143" s="66">
        <f t="shared" si="15"/>
        <v>0.31994125682595326</v>
      </c>
    </row>
    <row r="144" spans="1:5" x14ac:dyDescent="0.25">
      <c r="A144" s="64">
        <v>0.79</v>
      </c>
      <c r="B144" s="194">
        <v>93.672585873118834</v>
      </c>
      <c r="C144" s="65">
        <v>301.01686527716481</v>
      </c>
      <c r="D144" s="196">
        <f t="shared" si="14"/>
        <v>6</v>
      </c>
      <c r="E144" s="66">
        <f t="shared" si="15"/>
        <v>0.31811775942456916</v>
      </c>
    </row>
    <row r="145" spans="1:5" x14ac:dyDescent="0.25">
      <c r="A145" s="64">
        <v>0.8</v>
      </c>
      <c r="B145" s="194">
        <v>93.7348376799481</v>
      </c>
      <c r="C145" s="65">
        <v>299.32649460812991</v>
      </c>
      <c r="D145" s="196">
        <f t="shared" si="14"/>
        <v>5</v>
      </c>
      <c r="E145" s="66">
        <f t="shared" si="15"/>
        <v>0.31633135809009488</v>
      </c>
    </row>
    <row r="146" spans="1:5" x14ac:dyDescent="0.25">
      <c r="A146" s="64">
        <v>0.81</v>
      </c>
      <c r="B146" s="194">
        <v>93.793935314944505</v>
      </c>
      <c r="C146" s="65">
        <v>297.67015007925437</v>
      </c>
      <c r="D146" s="196">
        <f t="shared" si="14"/>
        <v>5</v>
      </c>
      <c r="E146" s="66">
        <f t="shared" si="15"/>
        <v>0.31458091593504861</v>
      </c>
    </row>
    <row r="147" spans="1:5" x14ac:dyDescent="0.25">
      <c r="A147" s="64">
        <v>0.82</v>
      </c>
      <c r="B147" s="194">
        <v>93.850013412287581</v>
      </c>
      <c r="C147" s="65">
        <v>296.04679874374375</v>
      </c>
      <c r="D147" s="196">
        <f t="shared" si="14"/>
        <v>5</v>
      </c>
      <c r="E147" s="66">
        <f t="shared" si="15"/>
        <v>0.31286534133049609</v>
      </c>
    </row>
    <row r="148" spans="1:5" x14ac:dyDescent="0.25">
      <c r="A148" s="64">
        <v>0.83</v>
      </c>
      <c r="B148" s="194">
        <v>93.903200140233039</v>
      </c>
      <c r="C148" s="65">
        <v>294.45544840462742</v>
      </c>
      <c r="D148" s="196">
        <f t="shared" si="14"/>
        <v>5</v>
      </c>
      <c r="E148" s="66">
        <f t="shared" si="15"/>
        <v>0.31118358571234128</v>
      </c>
    </row>
    <row r="149" spans="1:5" x14ac:dyDescent="0.25">
      <c r="A149" s="64">
        <v>0.84</v>
      </c>
      <c r="B149" s="194">
        <v>93.953617555176621</v>
      </c>
      <c r="C149" s="65">
        <v>292.89514565693895</v>
      </c>
      <c r="D149" s="196">
        <f t="shared" si="14"/>
        <v>4</v>
      </c>
      <c r="E149" s="66">
        <f t="shared" si="15"/>
        <v>0.30953464151228249</v>
      </c>
    </row>
    <row r="150" spans="1:5" x14ac:dyDescent="0.25">
      <c r="A150" s="64">
        <v>0.85</v>
      </c>
      <c r="B150" s="194">
        <v>94.001381933820795</v>
      </c>
      <c r="C150" s="65">
        <v>291.36497404020105</v>
      </c>
      <c r="D150" s="196">
        <f t="shared" si="14"/>
        <v>4</v>
      </c>
      <c r="E150" s="66">
        <f t="shared" si="15"/>
        <v>0.30791754020533901</v>
      </c>
    </row>
    <row r="151" spans="1:5" x14ac:dyDescent="0.25">
      <c r="A151" s="64">
        <v>0.86</v>
      </c>
      <c r="B151" s="194">
        <v>94.046604084958915</v>
      </c>
      <c r="C151" s="65">
        <v>289.8640522941119</v>
      </c>
      <c r="D151" s="196">
        <f t="shared" si="14"/>
        <v>4</v>
      </c>
      <c r="E151" s="66">
        <f t="shared" si="15"/>
        <v>0.30633135046644233</v>
      </c>
    </row>
    <row r="152" spans="1:5" x14ac:dyDescent="0.25">
      <c r="A152" s="64">
        <v>0.87</v>
      </c>
      <c r="B152" s="194">
        <v>94.089389642271158</v>
      </c>
      <c r="C152" s="65">
        <v>288.39153271084643</v>
      </c>
      <c r="D152" s="196">
        <f t="shared" si="14"/>
        <v>4</v>
      </c>
      <c r="E152" s="66">
        <f t="shared" si="15"/>
        <v>0.30477517642913082</v>
      </c>
    </row>
    <row r="153" spans="1:5" x14ac:dyDescent="0.25">
      <c r="A153" s="64">
        <v>0.88</v>
      </c>
      <c r="B153" s="194">
        <v>94.129839339424265</v>
      </c>
      <c r="C153" s="65">
        <v>286.94659957785188</v>
      </c>
      <c r="D153" s="196">
        <f t="shared" si="14"/>
        <v>3</v>
      </c>
      <c r="E153" s="66">
        <f t="shared" si="15"/>
        <v>0.3032481560398802</v>
      </c>
    </row>
    <row r="154" spans="1:5" x14ac:dyDescent="0.25">
      <c r="A154" s="64">
        <v>0.89</v>
      </c>
      <c r="B154" s="194">
        <v>94.168049268668781</v>
      </c>
      <c r="C154" s="65">
        <v>285.52846770545693</v>
      </c>
      <c r="D154" s="196">
        <f t="shared" si="14"/>
        <v>3</v>
      </c>
      <c r="E154" s="66">
        <f t="shared" si="15"/>
        <v>0.30174945950206505</v>
      </c>
    </row>
    <row r="155" spans="1:5" x14ac:dyDescent="0.25">
      <c r="A155" s="64">
        <v>0.9</v>
      </c>
      <c r="B155" s="194">
        <v>94.204111124038292</v>
      </c>
      <c r="C155" s="65">
        <v>284.13638103400945</v>
      </c>
      <c r="D155" s="196">
        <f t="shared" si="14"/>
        <v>3</v>
      </c>
      <c r="E155" s="66">
        <f t="shared" si="15"/>
        <v>0.30027828780396792</v>
      </c>
    </row>
    <row r="156" spans="1:5" x14ac:dyDescent="0.25">
      <c r="A156" s="64">
        <v>0.91</v>
      </c>
      <c r="B156" s="194">
        <v>94.238112430174581</v>
      </c>
      <c r="C156" s="65">
        <v>282.76961131563394</v>
      </c>
      <c r="D156" s="196">
        <f t="shared" si="14"/>
        <v>3</v>
      </c>
      <c r="E156" s="66">
        <f t="shared" si="15"/>
        <v>0.29883387132564659</v>
      </c>
    </row>
    <row r="157" spans="1:5" x14ac:dyDescent="0.25">
      <c r="A157" s="64">
        <v>0.92</v>
      </c>
      <c r="B157" s="194">
        <v>94.270136757726235</v>
      </c>
      <c r="C157" s="65">
        <v>281.42745686602922</v>
      </c>
      <c r="D157" s="196">
        <f t="shared" si="14"/>
        <v>3</v>
      </c>
      <c r="E157" s="66">
        <f t="shared" si="15"/>
        <v>0.29741546851982098</v>
      </c>
    </row>
    <row r="158" spans="1:5" x14ac:dyDescent="0.25">
      <c r="A158" s="64">
        <v>0.93</v>
      </c>
      <c r="B158" s="194">
        <v>94.300263926199861</v>
      </c>
      <c r="C158" s="65">
        <v>280.10924138205382</v>
      </c>
      <c r="D158" s="196">
        <f t="shared" si="14"/>
        <v>2</v>
      </c>
      <c r="E158" s="66">
        <f t="shared" si="15"/>
        <v>0.29602236466228493</v>
      </c>
    </row>
    <row r="159" spans="1:5" x14ac:dyDescent="0.25">
      <c r="A159" s="64">
        <v>0.94</v>
      </c>
      <c r="B159" s="194">
        <v>94.328570195079678</v>
      </c>
      <c r="C159" s="65">
        <v>278.81431282113004</v>
      </c>
      <c r="D159" s="196">
        <f t="shared" si="14"/>
        <v>2</v>
      </c>
      <c r="E159" s="66">
        <f t="shared" si="15"/>
        <v>0.29465387066764892</v>
      </c>
    </row>
    <row r="160" spans="1:5" x14ac:dyDescent="0.25">
      <c r="A160" s="64">
        <v>0.95</v>
      </c>
      <c r="B160" s="194">
        <v>94.35512844397185</v>
      </c>
      <c r="C160" s="65">
        <v>277.54204233876504</v>
      </c>
      <c r="D160" s="196">
        <f t="shared" si="14"/>
        <v>2</v>
      </c>
      <c r="E160" s="66">
        <f t="shared" si="15"/>
        <v>0.29330932196650117</v>
      </c>
    </row>
    <row r="161" spans="1:5" x14ac:dyDescent="0.25">
      <c r="A161" s="64">
        <v>0.96</v>
      </c>
      <c r="B161" s="194">
        <v>94.38000834247687</v>
      </c>
      <c r="C161" s="65">
        <v>276.29182328074199</v>
      </c>
      <c r="D161" s="196">
        <f t="shared" si="14"/>
        <v>2</v>
      </c>
      <c r="E161" s="66">
        <f t="shared" si="15"/>
        <v>0.29198807744034488</v>
      </c>
    </row>
    <row r="162" spans="1:5" x14ac:dyDescent="0.25">
      <c r="A162" s="64">
        <v>0.97</v>
      </c>
      <c r="B162" s="194">
        <v>94.403276510443661</v>
      </c>
      <c r="C162" s="65">
        <v>275.06307022675969</v>
      </c>
      <c r="D162" s="196">
        <f t="shared" si="14"/>
        <v>2</v>
      </c>
      <c r="E162" s="66">
        <f t="shared" si="15"/>
        <v>0.29068951841090634</v>
      </c>
    </row>
    <row r="163" spans="1:5" x14ac:dyDescent="0.25">
      <c r="A163" s="64">
        <v>0.98</v>
      </c>
      <c r="B163" s="194">
        <v>94.424996669211978</v>
      </c>
      <c r="C163" s="65">
        <v>273.85521808251315</v>
      </c>
      <c r="D163" s="196">
        <f t="shared" si="14"/>
        <v>2</v>
      </c>
      <c r="E163" s="66">
        <f t="shared" si="15"/>
        <v>0.28941304768063653</v>
      </c>
    </row>
    <row r="164" spans="1:5" x14ac:dyDescent="0.25">
      <c r="A164" s="64">
        <v>0.99</v>
      </c>
      <c r="B164" s="194">
        <v>94.44522978440861</v>
      </c>
      <c r="C164" s="65">
        <v>272.6677212174057</v>
      </c>
      <c r="D164" s="196">
        <f t="shared" si="14"/>
        <v>1</v>
      </c>
      <c r="E164" s="66">
        <f t="shared" si="15"/>
        <v>0.28815808862143616</v>
      </c>
    </row>
    <row r="165" spans="1:5" x14ac:dyDescent="0.25">
      <c r="A165" s="64">
        <v>1</v>
      </c>
      <c r="B165" s="194">
        <v>94.464034200823264</v>
      </c>
      <c r="C165" s="65">
        <v>271.50005264526658</v>
      </c>
      <c r="D165" s="196">
        <f t="shared" si="14"/>
        <v>1</v>
      </c>
      <c r="E165" s="66">
        <f t="shared" si="15"/>
        <v>0.28692408430882937</v>
      </c>
    </row>
    <row r="166" spans="1:5" x14ac:dyDescent="0.25">
      <c r="A166" s="64">
        <v>1.01</v>
      </c>
      <c r="B166" s="194">
        <v>94.481465769854282</v>
      </c>
      <c r="C166" s="65">
        <v>270.35170324561557</v>
      </c>
      <c r="D166" s="196">
        <f t="shared" si="14"/>
        <v>1</v>
      </c>
      <c r="E166" s="66">
        <f t="shared" si="15"/>
        <v>0.28571049669898846</v>
      </c>
    </row>
    <row r="167" spans="1:5" x14ac:dyDescent="0.25">
      <c r="A167" s="64">
        <v>1.02</v>
      </c>
      <c r="B167" s="194">
        <v>94.497577969979346</v>
      </c>
      <c r="C167" s="65">
        <v>269.22218102317919</v>
      </c>
      <c r="D167" s="196">
        <f t="shared" si="14"/>
        <v>1</v>
      </c>
      <c r="E167" s="66">
        <f t="shared" si="15"/>
        <v>0.28451680584618233</v>
      </c>
    </row>
    <row r="168" spans="1:5" x14ac:dyDescent="0.25">
      <c r="A168" s="64">
        <v>1.03</v>
      </c>
      <c r="B168" s="194">
        <v>94.51242202067786</v>
      </c>
      <c r="C168" s="65">
        <v>268.11101040350093</v>
      </c>
      <c r="D168" s="196">
        <f t="shared" si="14"/>
        <v>1</v>
      </c>
      <c r="E168" s="66">
        <f t="shared" si="15"/>
        <v>0.28334250915837056</v>
      </c>
    </row>
    <row r="169" spans="1:5" x14ac:dyDescent="0.25">
      <c r="A169" s="64">
        <v>1.04</v>
      </c>
      <c r="B169" s="194">
        <v>94.526046990201408</v>
      </c>
      <c r="C169" s="65">
        <v>267.01773156263505</v>
      </c>
      <c r="D169" s="196">
        <f t="shared" si="14"/>
        <v>1</v>
      </c>
      <c r="E169" s="66">
        <f t="shared" si="15"/>
        <v>0.28218712068881652</v>
      </c>
    </row>
    <row r="170" spans="1:5" x14ac:dyDescent="0.25">
      <c r="A170" s="64">
        <v>1.05</v>
      </c>
      <c r="B170" s="194">
        <v>94.538499897561394</v>
      </c>
      <c r="C170" s="65">
        <v>265.94189978902847</v>
      </c>
      <c r="D170" s="196">
        <f t="shared" si="14"/>
        <v>1</v>
      </c>
      <c r="E170" s="66">
        <f t="shared" si="15"/>
        <v>0.28105017046171754</v>
      </c>
    </row>
    <row r="171" spans="1:5" x14ac:dyDescent="0.25">
      <c r="A171" s="64">
        <v>1.06</v>
      </c>
      <c r="B171" s="194">
        <v>94.549825809082037</v>
      </c>
      <c r="C171" s="65">
        <v>264.88308487582458</v>
      </c>
      <c r="D171" s="196">
        <f t="shared" si="14"/>
        <v>1</v>
      </c>
      <c r="E171" s="66">
        <f t="shared" si="15"/>
        <v>0.27993120382998549</v>
      </c>
    </row>
    <row r="172" spans="1:5" x14ac:dyDescent="0.25">
      <c r="A172" s="64">
        <v>1.07</v>
      </c>
      <c r="B172" s="194">
        <v>94.56006792983797</v>
      </c>
      <c r="C172" s="65">
        <v>263.84087054192258</v>
      </c>
      <c r="D172" s="196">
        <f t="shared" si="14"/>
        <v>0</v>
      </c>
      <c r="E172" s="66">
        <f t="shared" si="15"/>
        <v>0.27882978086341581</v>
      </c>
    </row>
    <row r="173" spans="1:5" x14ac:dyDescent="0.25">
      <c r="A173" s="64">
        <v>1.08</v>
      </c>
      <c r="B173" s="194">
        <v>94.56926769028172</v>
      </c>
      <c r="C173" s="65">
        <v>262.81485388023316</v>
      </c>
      <c r="D173" s="196">
        <f t="shared" si="14"/>
        <v>0</v>
      </c>
      <c r="E173" s="66">
        <f t="shared" si="15"/>
        <v>0.27774547576559883</v>
      </c>
    </row>
    <row r="174" spans="1:5" x14ac:dyDescent="0.25">
      <c r="A174" s="64">
        <v>1.0900000000000001</v>
      </c>
      <c r="B174" s="194">
        <v>94.577464828340567</v>
      </c>
      <c r="C174" s="65">
        <v>261.80464483166941</v>
      </c>
      <c r="D174" s="196">
        <f t="shared" si="14"/>
        <v>0</v>
      </c>
      <c r="E174" s="66">
        <f t="shared" si="15"/>
        <v>0.27667787631802759</v>
      </c>
    </row>
    <row r="175" spans="1:5" x14ac:dyDescent="0.25">
      <c r="A175" s="64">
        <v>1.1000000000000001</v>
      </c>
      <c r="B175" s="194">
        <v>94.584697467247636</v>
      </c>
      <c r="C175" s="65">
        <v>260.80986568348953</v>
      </c>
      <c r="D175" s="196">
        <f t="shared" si="14"/>
        <v>0</v>
      </c>
      <c r="E175" s="66">
        <f t="shared" si="15"/>
        <v>0.27562658334994133</v>
      </c>
    </row>
    <row r="176" spans="1:5" x14ac:dyDescent="0.25">
      <c r="A176" s="64">
        <v>1.1100000000000001</v>
      </c>
      <c r="B176" s="194">
        <v>94.591002189354214</v>
      </c>
      <c r="C176" s="65">
        <v>259.83015059070692</v>
      </c>
      <c r="D176" s="196">
        <f t="shared" si="14"/>
        <v>0</v>
      </c>
      <c r="E176" s="66">
        <f t="shared" si="15"/>
        <v>0.27459121023254646</v>
      </c>
    </row>
    <row r="177" spans="1:5" x14ac:dyDescent="0.25">
      <c r="A177" s="64">
        <v>1.1200000000000001</v>
      </c>
      <c r="B177" s="194">
        <v>94.596414106153304</v>
      </c>
      <c r="C177" s="65">
        <v>258.86514511934371</v>
      </c>
      <c r="D177" s="196">
        <f t="shared" si="14"/>
        <v>0</v>
      </c>
      <c r="E177" s="66">
        <f t="shared" si="15"/>
        <v>0.27357138239632256</v>
      </c>
    </row>
    <row r="178" spans="1:5" x14ac:dyDescent="0.25">
      <c r="A178" s="64">
        <v>1.1299999999999999</v>
      </c>
      <c r="B178" s="194">
        <v>94.600966924732333</v>
      </c>
      <c r="C178" s="65">
        <v>257.91450581038885</v>
      </c>
      <c r="D178" s="196">
        <f t="shared" si="14"/>
        <v>0</v>
      </c>
      <c r="E178" s="66">
        <f t="shared" si="15"/>
        <v>0.27256673687020833</v>
      </c>
    </row>
    <row r="179" spans="1:5" x14ac:dyDescent="0.25">
      <c r="A179" s="64">
        <v>1.1399999999999999</v>
      </c>
      <c r="B179" s="194">
        <v>94.604693010856678</v>
      </c>
      <c r="C179" s="65">
        <v>256.97789976338339</v>
      </c>
      <c r="D179" s="196">
        <f t="shared" si="14"/>
        <v>0</v>
      </c>
      <c r="E179" s="66">
        <f t="shared" si="15"/>
        <v>0.27157692184153032</v>
      </c>
    </row>
    <row r="180" spans="1:5" x14ac:dyDescent="0.25">
      <c r="A180" s="64">
        <v>1.1499999999999999</v>
      </c>
      <c r="B180" s="194">
        <v>94.607623448874193</v>
      </c>
      <c r="C180" s="65">
        <v>256.05500423861736</v>
      </c>
      <c r="D180" s="196">
        <f t="shared" si="14"/>
        <v>0</v>
      </c>
      <c r="E180" s="66">
        <f t="shared" si="15"/>
        <v>0.27060159623560054</v>
      </c>
    </row>
    <row r="181" spans="1:5" x14ac:dyDescent="0.25">
      <c r="A181" s="64">
        <v>1.1599999999999999</v>
      </c>
      <c r="B181" s="194">
        <v>94.609788098619561</v>
      </c>
      <c r="C181" s="65">
        <v>255.14550627698588</v>
      </c>
      <c r="D181" s="196">
        <f t="shared" si="14"/>
        <v>0</v>
      </c>
      <c r="E181" s="66">
        <f t="shared" si="15"/>
        <v>0.26964042931397636</v>
      </c>
    </row>
    <row r="182" spans="1:5" x14ac:dyDescent="0.25">
      <c r="A182" s="64">
        <v>1.17</v>
      </c>
      <c r="B182" s="194">
        <v>94.611215649485558</v>
      </c>
      <c r="C182" s="65">
        <v>254.24910233660469</v>
      </c>
      <c r="D182" s="196">
        <f t="shared" si="14"/>
        <v>0</v>
      </c>
      <c r="E182" s="66">
        <f t="shared" si="15"/>
        <v>0.26869310029043192</v>
      </c>
    </row>
    <row r="183" spans="1:5" x14ac:dyDescent="0.25">
      <c r="A183" s="64">
        <v>1.18</v>
      </c>
      <c r="B183" s="194">
        <v>94.611933671817241</v>
      </c>
      <c r="C183" s="65">
        <v>253.3654979453369</v>
      </c>
      <c r="D183" s="196">
        <f t="shared" si="14"/>
        <v>0</v>
      </c>
      <c r="E183" s="66">
        <f t="shared" si="15"/>
        <v>0.26775929796374498</v>
      </c>
    </row>
    <row r="184" spans="1:5" x14ac:dyDescent="0.25">
      <c r="A184" s="64">
        <v>1.19</v>
      </c>
      <c r="B184" s="194">
        <v>94.611968665777681</v>
      </c>
      <c r="C184" s="65">
        <v>252.49440736842982</v>
      </c>
      <c r="D184" s="196">
        <f t="shared" si="14"/>
        <v>-1</v>
      </c>
      <c r="E184" s="66">
        <f t="shared" si="15"/>
        <v>0.26683872036645195</v>
      </c>
    </row>
    <row r="185" spans="1:5" x14ac:dyDescent="0.25">
      <c r="A185" s="64">
        <v>1.2</v>
      </c>
      <c r="B185" s="194">
        <v>94.611346107823309</v>
      </c>
      <c r="C185" s="65">
        <v>251.63555329051192</v>
      </c>
      <c r="D185" s="196">
        <f t="shared" si="14"/>
        <v>-1</v>
      </c>
      <c r="E185" s="66">
        <f t="shared" si="15"/>
        <v>0.26593107442877889</v>
      </c>
    </row>
    <row r="186" spans="1:5" x14ac:dyDescent="0.25">
      <c r="A186" s="64">
        <v>1.21</v>
      </c>
      <c r="B186" s="194">
        <v>94.610090494918154</v>
      </c>
      <c r="C186" s="65">
        <v>250.78866651123195</v>
      </c>
      <c r="D186" s="196">
        <f t="shared" si="14"/>
        <v>-1</v>
      </c>
      <c r="E186" s="66">
        <f t="shared" si="15"/>
        <v>0.26503607565698989</v>
      </c>
    </row>
    <row r="187" spans="1:5" x14ac:dyDescent="0.25">
      <c r="A187" s="64">
        <v>1.22</v>
      </c>
      <c r="B187" s="194">
        <v>94.608225386610229</v>
      </c>
      <c r="C187" s="65">
        <v>249.95348565387371</v>
      </c>
      <c r="D187" s="196">
        <f t="shared" si="14"/>
        <v>-1</v>
      </c>
      <c r="E187" s="66">
        <f t="shared" si="15"/>
        <v>0.26415344782544808</v>
      </c>
    </row>
    <row r="188" spans="1:5" x14ac:dyDescent="0.25">
      <c r="A188" s="64">
        <v>1.23</v>
      </c>
      <c r="B188" s="194">
        <v>94.605773445084282</v>
      </c>
      <c r="C188" s="65">
        <v>249.12975688630743</v>
      </c>
      <c r="D188" s="196">
        <f t="shared" si="14"/>
        <v>-1</v>
      </c>
      <c r="E188" s="66">
        <f t="shared" si="15"/>
        <v>0.26328292268171416</v>
      </c>
    </row>
    <row r="189" spans="1:5" x14ac:dyDescent="0.25">
      <c r="A189" s="64">
        <v>1.24</v>
      </c>
      <c r="B189" s="194">
        <v>94.60275647330009</v>
      </c>
      <c r="C189" s="65">
        <v>248.31723365368052</v>
      </c>
      <c r="D189" s="196">
        <f t="shared" si="14"/>
        <v>-1</v>
      </c>
      <c r="E189" s="66">
        <f t="shared" si="15"/>
        <v>0.26242423966405104</v>
      </c>
    </row>
    <row r="190" spans="1:5" x14ac:dyDescent="0.25">
      <c r="A190" s="64">
        <v>1.25</v>
      </c>
      <c r="B190" s="194">
        <v>94.599195451316561</v>
      </c>
      <c r="C190" s="65">
        <v>247.51567642227909</v>
      </c>
      <c r="D190" s="196">
        <f t="shared" si="14"/>
        <v>-1</v>
      </c>
      <c r="E190" s="66">
        <f t="shared" si="15"/>
        <v>0.26157714563073436</v>
      </c>
    </row>
    <row r="191" spans="1:5" x14ac:dyDescent="0.25">
      <c r="A191" s="64">
        <v>1.26</v>
      </c>
      <c r="B191" s="194">
        <v>94.595110570898413</v>
      </c>
      <c r="C191" s="65">
        <v>246.72485243402448</v>
      </c>
      <c r="D191" s="196">
        <f t="shared" si="14"/>
        <v>-1</v>
      </c>
      <c r="E191" s="66">
        <f t="shared" si="15"/>
        <v>0.26074139460060147</v>
      </c>
    </row>
    <row r="192" spans="1:5" x14ac:dyDescent="0.25">
      <c r="A192" s="64">
        <v>1.27</v>
      </c>
      <c r="B192" s="194">
        <v>94.590521268496332</v>
      </c>
      <c r="C192" s="65">
        <v>245.94453547109802</v>
      </c>
      <c r="D192" s="196">
        <f t="shared" si="14"/>
        <v>-1</v>
      </c>
      <c r="E192" s="66">
        <f t="shared" si="15"/>
        <v>0.25991674750430477</v>
      </c>
    </row>
    <row r="193" spans="1:5" x14ac:dyDescent="0.25">
      <c r="A193" s="64">
        <v>1.28</v>
      </c>
      <c r="B193" s="194">
        <v>94.585446256683653</v>
      </c>
      <c r="C193" s="65">
        <v>245.1745056302141</v>
      </c>
      <c r="D193" s="196">
        <f t="shared" si="14"/>
        <v>-1</v>
      </c>
      <c r="E193" s="66">
        <f t="shared" si="15"/>
        <v>0.25910297194576093</v>
      </c>
    </row>
    <row r="194" spans="1:5" x14ac:dyDescent="0.25">
      <c r="A194" s="64">
        <v>1.29</v>
      </c>
      <c r="B194" s="194">
        <v>94.579903554131789</v>
      </c>
      <c r="C194" s="65">
        <v>244.41454910608545</v>
      </c>
      <c r="D194" s="196">
        <f t="shared" ref="D194:D257" si="16">INT((B195-B194)/(A195-A194))</f>
        <v>-1</v>
      </c>
      <c r="E194" s="66">
        <f t="shared" ref="E194:E257" si="17">C194/$C$65</f>
        <v>0.25829984197331474</v>
      </c>
    </row>
    <row r="195" spans="1:5" x14ac:dyDescent="0.25">
      <c r="A195" s="64">
        <v>1.3</v>
      </c>
      <c r="B195" s="194">
        <v>94.573910514198403</v>
      </c>
      <c r="C195" s="65">
        <v>243.66445798365382</v>
      </c>
      <c r="D195" s="196">
        <f t="shared" si="16"/>
        <v>-1</v>
      </c>
      <c r="E195" s="66">
        <f t="shared" si="17"/>
        <v>0.25750713786016644</v>
      </c>
    </row>
    <row r="196" spans="1:5" x14ac:dyDescent="0.25">
      <c r="A196" s="64">
        <v>1.31</v>
      </c>
      <c r="B196" s="194">
        <v>94.56748385220051</v>
      </c>
      <c r="C196" s="65">
        <v>242.9240300386752</v>
      </c>
      <c r="D196" s="196">
        <f t="shared" si="16"/>
        <v>-1</v>
      </c>
      <c r="E196" s="66">
        <f t="shared" si="17"/>
        <v>0.25672464589362809</v>
      </c>
    </row>
    <row r="197" spans="1:5" x14ac:dyDescent="0.25">
      <c r="A197" s="64">
        <v>1.32</v>
      </c>
      <c r="B197" s="194">
        <v>94.560639671439205</v>
      </c>
      <c r="C197" s="65">
        <v>242.19306854627504</v>
      </c>
      <c r="D197" s="196">
        <f t="shared" si="16"/>
        <v>-1</v>
      </c>
      <c r="E197" s="66">
        <f t="shared" si="17"/>
        <v>0.25595215817280265</v>
      </c>
    </row>
    <row r="198" spans="1:5" x14ac:dyDescent="0.25">
      <c r="A198" s="64">
        <v>1.33</v>
      </c>
      <c r="B198" s="194">
        <v>94.553393488039504</v>
      </c>
      <c r="C198" s="65">
        <v>241.47138209710758</v>
      </c>
      <c r="D198" s="196">
        <f t="shared" si="16"/>
        <v>-1</v>
      </c>
      <c r="E198" s="66">
        <f t="shared" si="17"/>
        <v>0.25518947241429923</v>
      </c>
    </row>
    <row r="199" spans="1:5" x14ac:dyDescent="0.25">
      <c r="A199" s="64">
        <v>1.34</v>
      </c>
      <c r="B199" s="194">
        <v>94.545760254665211</v>
      </c>
      <c r="C199" s="65">
        <v>240.75878442077115</v>
      </c>
      <c r="D199" s="196">
        <f t="shared" si="16"/>
        <v>-1</v>
      </c>
      <c r="E199" s="66">
        <f t="shared" si="17"/>
        <v>0.25443639176561678</v>
      </c>
    </row>
    <row r="200" spans="1:5" x14ac:dyDescent="0.25">
      <c r="A200" s="64">
        <v>1.35</v>
      </c>
      <c r="B200" s="194">
        <v>94.537754383165918</v>
      </c>
      <c r="C200" s="65">
        <v>240.05509421615187</v>
      </c>
      <c r="D200" s="196">
        <f t="shared" si="16"/>
        <v>-1</v>
      </c>
      <c r="E200" s="66">
        <f t="shared" si="17"/>
        <v>0.25369272462584908</v>
      </c>
    </row>
    <row r="201" spans="1:5" x14ac:dyDescent="0.25">
      <c r="A201" s="64">
        <v>1.36</v>
      </c>
      <c r="B201" s="194">
        <v>94.529389766207842</v>
      </c>
      <c r="C201" s="65">
        <v>239.36013498838054</v>
      </c>
      <c r="D201" s="196">
        <f t="shared" si="16"/>
        <v>-1</v>
      </c>
      <c r="E201" s="66">
        <f t="shared" si="17"/>
        <v>0.25295828447337959</v>
      </c>
    </row>
    <row r="202" spans="1:5" x14ac:dyDescent="0.25">
      <c r="A202" s="64">
        <v>1.37</v>
      </c>
      <c r="B202" s="194">
        <v>94.520679797941511</v>
      </c>
      <c r="C202" s="65">
        <v>238.67373489210979</v>
      </c>
      <c r="D202" s="196">
        <f t="shared" si="16"/>
        <v>-1</v>
      </c>
      <c r="E202" s="66">
        <f t="shared" si="17"/>
        <v>0.25223288970025481</v>
      </c>
    </row>
    <row r="203" spans="1:5" x14ac:dyDescent="0.25">
      <c r="A203" s="64">
        <v>1.38</v>
      </c>
      <c r="B203" s="194">
        <v>94.511637393751613</v>
      </c>
      <c r="C203" s="65">
        <v>237.99572658082758</v>
      </c>
      <c r="D203" s="196">
        <f t="shared" si="16"/>
        <v>-1</v>
      </c>
      <c r="E203" s="66">
        <f t="shared" si="17"/>
        <v>0.25151636345293732</v>
      </c>
    </row>
    <row r="204" spans="1:5" x14ac:dyDescent="0.25">
      <c r="A204" s="64">
        <v>1.39</v>
      </c>
      <c r="B204" s="194">
        <v>94.502275009135516</v>
      </c>
      <c r="C204" s="65">
        <v>237.3259470619389</v>
      </c>
      <c r="D204" s="196">
        <f t="shared" si="16"/>
        <v>-1</v>
      </c>
      <c r="E204" s="66">
        <f t="shared" si="17"/>
        <v>0.25080853347915444</v>
      </c>
    </row>
    <row r="205" spans="1:5" x14ac:dyDescent="0.25">
      <c r="A205" s="64">
        <v>1.4</v>
      </c>
      <c r="B205" s="194">
        <v>94.492604657752565</v>
      </c>
      <c r="C205" s="65">
        <v>236.664237557365</v>
      </c>
      <c r="D205" s="196">
        <f t="shared" si="16"/>
        <v>-1</v>
      </c>
      <c r="E205" s="66">
        <f t="shared" si="17"/>
        <v>0.25010923198057838</v>
      </c>
    </row>
    <row r="206" spans="1:5" x14ac:dyDescent="0.25">
      <c r="A206" s="64">
        <v>1.41</v>
      </c>
      <c r="B206" s="194">
        <v>94.482637928684952</v>
      </c>
      <c r="C206" s="65">
        <v>236.01044336941561</v>
      </c>
      <c r="D206" s="196">
        <f t="shared" si="16"/>
        <v>-2</v>
      </c>
      <c r="E206" s="66">
        <f t="shared" si="17"/>
        <v>0.2494182954710783</v>
      </c>
    </row>
    <row r="207" spans="1:5" x14ac:dyDescent="0.25">
      <c r="A207" s="64">
        <v>1.42</v>
      </c>
      <c r="B207" s="194">
        <v>94.472386002947601</v>
      </c>
      <c r="C207" s="65">
        <v>235.36441375170517</v>
      </c>
      <c r="D207" s="196">
        <f t="shared" si="16"/>
        <v>-2</v>
      </c>
      <c r="E207" s="66">
        <f t="shared" si="17"/>
        <v>0.24873556464030333</v>
      </c>
    </row>
    <row r="208" spans="1:5" x14ac:dyDescent="0.25">
      <c r="A208" s="64">
        <v>1.43</v>
      </c>
      <c r="B208" s="194">
        <v>94.461859669284394</v>
      </c>
      <c r="C208" s="65">
        <v>234.72600178489662</v>
      </c>
      <c r="D208" s="196">
        <f t="shared" si="16"/>
        <v>-2</v>
      </c>
      <c r="E208" s="66">
        <f t="shared" si="17"/>
        <v>0.24806088422236738</v>
      </c>
    </row>
    <row r="209" spans="1:5" x14ac:dyDescent="0.25">
      <c r="A209" s="64">
        <v>1.44</v>
      </c>
      <c r="B209" s="194">
        <v>94.451069339283535</v>
      </c>
      <c r="C209" s="65">
        <v>234.09506425706326</v>
      </c>
      <c r="D209" s="196">
        <f t="shared" si="16"/>
        <v>-2</v>
      </c>
      <c r="E209" s="66">
        <f t="shared" si="17"/>
        <v>0.24739410286941421</v>
      </c>
    </row>
    <row r="210" spans="1:5" x14ac:dyDescent="0.25">
      <c r="A210" s="64">
        <v>1.45</v>
      </c>
      <c r="B210" s="194">
        <v>94.440025061845759</v>
      </c>
      <c r="C210" s="65">
        <v>233.47146154847155</v>
      </c>
      <c r="D210" s="196">
        <f t="shared" si="16"/>
        <v>-2</v>
      </c>
      <c r="E210" s="66">
        <f t="shared" si="17"/>
        <v>0.24673507302985481</v>
      </c>
    </row>
    <row r="211" spans="1:5" x14ac:dyDescent="0.25">
      <c r="A211" s="64">
        <v>1.46</v>
      </c>
      <c r="B211" s="194">
        <v>94.428736537035618</v>
      </c>
      <c r="C211" s="65">
        <v>232.8550575205978</v>
      </c>
      <c r="D211" s="196">
        <f t="shared" si="16"/>
        <v>-2</v>
      </c>
      <c r="E211" s="66">
        <f t="shared" si="17"/>
        <v>0.24608365083107892</v>
      </c>
    </row>
    <row r="212" spans="1:5" x14ac:dyDescent="0.25">
      <c r="A212" s="64">
        <v>1.47</v>
      </c>
      <c r="B212" s="194">
        <v>94.417213129344532</v>
      </c>
      <c r="C212" s="65">
        <v>232.24571940919827</v>
      </c>
      <c r="D212" s="196">
        <f t="shared" si="16"/>
        <v>-2</v>
      </c>
      <c r="E212" s="66">
        <f t="shared" si="17"/>
        <v>0.24543969596645052</v>
      </c>
    </row>
    <row r="213" spans="1:5" x14ac:dyDescent="0.25">
      <c r="A213" s="64">
        <v>1.48</v>
      </c>
      <c r="B213" s="194">
        <v>94.405463880394578</v>
      </c>
      <c r="C213" s="65">
        <v>231.64331772126417</v>
      </c>
      <c r="D213" s="196">
        <f t="shared" si="16"/>
        <v>-2</v>
      </c>
      <c r="E213" s="66">
        <f t="shared" si="17"/>
        <v>0.24480307158640882</v>
      </c>
    </row>
    <row r="214" spans="1:5" x14ac:dyDescent="0.25">
      <c r="A214" s="64">
        <v>1.49</v>
      </c>
      <c r="B214" s="194">
        <v>94.393497521106951</v>
      </c>
      <c r="C214" s="65">
        <v>231.04772613569747</v>
      </c>
      <c r="D214" s="196">
        <f t="shared" si="16"/>
        <v>-2</v>
      </c>
      <c r="E214" s="66">
        <f t="shared" si="17"/>
        <v>0.24417364419350129</v>
      </c>
    </row>
    <row r="215" spans="1:5" x14ac:dyDescent="0.25">
      <c r="A215" s="64">
        <v>1.5</v>
      </c>
      <c r="B215" s="194">
        <v>94.381322483362567</v>
      </c>
      <c r="C215" s="65">
        <v>230.45882140755279</v>
      </c>
      <c r="D215" s="196">
        <f t="shared" si="16"/>
        <v>-2</v>
      </c>
      <c r="E215" s="66">
        <f t="shared" si="17"/>
        <v>0.24355128354118558</v>
      </c>
    </row>
    <row r="216" spans="1:5" x14ac:dyDescent="0.25">
      <c r="A216" s="64">
        <v>1.51</v>
      </c>
      <c r="B216" s="194">
        <v>94.368946911176366</v>
      </c>
      <c r="C216" s="65">
        <v>229.87648327570045</v>
      </c>
      <c r="D216" s="196">
        <f t="shared" si="16"/>
        <v>-2</v>
      </c>
      <c r="E216" s="66">
        <f t="shared" si="17"/>
        <v>0.24293586253624694</v>
      </c>
    </row>
    <row r="217" spans="1:5" x14ac:dyDescent="0.25">
      <c r="A217" s="64">
        <v>1.52</v>
      </c>
      <c r="B217" s="194">
        <v>94.356378671408663</v>
      </c>
      <c r="C217" s="65">
        <v>229.30059437376633</v>
      </c>
      <c r="D217" s="196">
        <f t="shared" si="16"/>
        <v>-2</v>
      </c>
      <c r="E217" s="66">
        <f t="shared" si="17"/>
        <v>0.24232725714467834</v>
      </c>
    </row>
    <row r="218" spans="1:5" x14ac:dyDescent="0.25">
      <c r="A218" s="64">
        <v>1.53</v>
      </c>
      <c r="B218" s="194">
        <v>94.343625364034523</v>
      </c>
      <c r="C218" s="65">
        <v>228.73104014421821</v>
      </c>
      <c r="D218" s="196">
        <f t="shared" si="16"/>
        <v>-2</v>
      </c>
      <c r="E218" s="66">
        <f t="shared" si="17"/>
        <v>0.24172534630088624</v>
      </c>
    </row>
    <row r="219" spans="1:5" x14ac:dyDescent="0.25">
      <c r="A219" s="64">
        <v>1.54</v>
      </c>
      <c r="B219" s="194">
        <v>94.330694331991367</v>
      </c>
      <c r="C219" s="65">
        <v>228.16770875546757</v>
      </c>
      <c r="D219" s="196">
        <f t="shared" si="16"/>
        <v>-2</v>
      </c>
      <c r="E219" s="66">
        <f t="shared" si="17"/>
        <v>0.2411300118200827</v>
      </c>
    </row>
    <row r="220" spans="1:5" x14ac:dyDescent="0.25">
      <c r="A220" s="64">
        <v>1.55</v>
      </c>
      <c r="B220" s="194">
        <v>94.317592670623569</v>
      </c>
      <c r="C220" s="65">
        <v>227.61049102186678</v>
      </c>
      <c r="D220" s="196">
        <f t="shared" si="16"/>
        <v>-2</v>
      </c>
      <c r="E220" s="66">
        <f t="shared" si="17"/>
        <v>0.2405411383137378</v>
      </c>
    </row>
    <row r="221" spans="1:5" x14ac:dyDescent="0.25">
      <c r="A221" s="64">
        <v>1.56</v>
      </c>
      <c r="B221" s="194">
        <v>94.304327236743532</v>
      </c>
      <c r="C221" s="65">
        <v>227.05928032648592</v>
      </c>
      <c r="D221" s="196">
        <f t="shared" si="16"/>
        <v>-2</v>
      </c>
      <c r="E221" s="66">
        <f t="shared" si="17"/>
        <v>0.23995861310796912</v>
      </c>
    </row>
    <row r="222" spans="1:5" x14ac:dyDescent="0.25">
      <c r="A222" s="64">
        <v>1.57</v>
      </c>
      <c r="B222" s="194">
        <v>94.290904657324432</v>
      </c>
      <c r="C222" s="65">
        <v>226.51397254655441</v>
      </c>
      <c r="D222" s="196">
        <f t="shared" si="16"/>
        <v>-2</v>
      </c>
      <c r="E222" s="66">
        <f t="shared" si="17"/>
        <v>0.23938232616474797</v>
      </c>
    </row>
    <row r="223" spans="1:5" x14ac:dyDescent="0.25">
      <c r="A223" s="64">
        <v>1.58</v>
      </c>
      <c r="B223" s="194">
        <v>94.277331337843137</v>
      </c>
      <c r="C223" s="65">
        <v>225.97446598146698</v>
      </c>
      <c r="D223" s="196">
        <f t="shared" si="16"/>
        <v>-2</v>
      </c>
      <c r="E223" s="66">
        <f t="shared" si="17"/>
        <v>0.23881217000581503</v>
      </c>
    </row>
    <row r="224" spans="1:5" x14ac:dyDescent="0.25">
      <c r="A224" s="64">
        <v>1.59</v>
      </c>
      <c r="B224" s="194">
        <v>94.263613470287936</v>
      </c>
      <c r="C224" s="65">
        <v>225.44066128324678</v>
      </c>
      <c r="D224" s="196">
        <f t="shared" si="16"/>
        <v>-2</v>
      </c>
      <c r="E224" s="66">
        <f t="shared" si="17"/>
        <v>0.23824803963919333</v>
      </c>
    </row>
    <row r="225" spans="1:5" x14ac:dyDescent="0.25">
      <c r="A225" s="64">
        <v>1.6</v>
      </c>
      <c r="B225" s="194">
        <v>94.249757040845481</v>
      </c>
      <c r="C225" s="65">
        <v>224.91246138937339</v>
      </c>
      <c r="D225" s="196">
        <f t="shared" si="16"/>
        <v>-2</v>
      </c>
      <c r="E225" s="66">
        <f t="shared" si="17"/>
        <v>0.23768983248820005</v>
      </c>
    </row>
    <row r="226" spans="1:5" x14ac:dyDescent="0.25">
      <c r="A226" s="64">
        <v>1.61</v>
      </c>
      <c r="B226" s="194">
        <v>94.235767837282665</v>
      </c>
      <c r="C226" s="65">
        <v>224.38977145788076</v>
      </c>
      <c r="D226" s="196">
        <f t="shared" si="16"/>
        <v>-2</v>
      </c>
      <c r="E226" s="66">
        <f t="shared" si="17"/>
        <v>0.2371374483228573</v>
      </c>
    </row>
    <row r="227" spans="1:5" x14ac:dyDescent="0.25">
      <c r="A227" s="64">
        <v>1.62</v>
      </c>
      <c r="B227" s="194">
        <v>94.221651456034536</v>
      </c>
      <c r="C227" s="65">
        <v>223.87249880463693</v>
      </c>
      <c r="D227" s="196">
        <f t="shared" si="16"/>
        <v>-2</v>
      </c>
      <c r="E227" s="66">
        <f t="shared" si="17"/>
        <v>0.23659078919360879</v>
      </c>
    </row>
    <row r="228" spans="1:5" x14ac:dyDescent="0.25">
      <c r="A228" s="64">
        <v>1.63</v>
      </c>
      <c r="B228" s="194">
        <v>94.207413309013887</v>
      </c>
      <c r="C228" s="65">
        <v>223.36055284272203</v>
      </c>
      <c r="D228" s="196">
        <f t="shared" si="16"/>
        <v>-2</v>
      </c>
      <c r="E228" s="66">
        <f t="shared" si="17"/>
        <v>0.23604975936725381</v>
      </c>
    </row>
    <row r="229" spans="1:5" x14ac:dyDescent="0.25">
      <c r="A229" s="64">
        <v>1.64</v>
      </c>
      <c r="B229" s="194">
        <v>94.193058630152137</v>
      </c>
      <c r="C229" s="65">
        <v>222.85384502382274</v>
      </c>
      <c r="D229" s="196">
        <f t="shared" si="16"/>
        <v>-2</v>
      </c>
      <c r="E229" s="66">
        <f t="shared" si="17"/>
        <v>0.23551426526501229</v>
      </c>
    </row>
    <row r="230" spans="1:5" x14ac:dyDescent="0.25">
      <c r="A230" s="64">
        <v>1.65</v>
      </c>
      <c r="B230" s="194">
        <v>94.178592481684717</v>
      </c>
      <c r="C230" s="65">
        <v>222.35228878156599</v>
      </c>
      <c r="D230" s="196">
        <f t="shared" si="16"/>
        <v>-2</v>
      </c>
      <c r="E230" s="66">
        <f t="shared" si="17"/>
        <v>0.23498421540263925</v>
      </c>
    </row>
    <row r="231" spans="1:5" x14ac:dyDescent="0.25">
      <c r="A231" s="64">
        <v>1.66</v>
      </c>
      <c r="B231" s="194">
        <v>94.164019760191138</v>
      </c>
      <c r="C231" s="65">
        <v>221.85579947671837</v>
      </c>
      <c r="D231" s="196">
        <f t="shared" si="16"/>
        <v>-2</v>
      </c>
      <c r="E231" s="66">
        <f t="shared" si="17"/>
        <v>0.23445952033251102</v>
      </c>
    </row>
    <row r="232" spans="1:5" x14ac:dyDescent="0.25">
      <c r="A232" s="64">
        <v>1.67</v>
      </c>
      <c r="B232" s="194">
        <v>94.149345202401193</v>
      </c>
      <c r="C232" s="65">
        <v>221.36429434418054</v>
      </c>
      <c r="D232" s="196">
        <f t="shared" si="16"/>
        <v>-2</v>
      </c>
      <c r="E232" s="66">
        <f t="shared" si="17"/>
        <v>0.23394009258760826</v>
      </c>
    </row>
    <row r="233" spans="1:5" x14ac:dyDescent="0.25">
      <c r="A233" s="64">
        <v>1.68</v>
      </c>
      <c r="B233" s="194">
        <v>94.134573390776168</v>
      </c>
      <c r="C233" s="65">
        <v>220.87769244170758</v>
      </c>
      <c r="D233" s="196">
        <f t="shared" si="16"/>
        <v>-2</v>
      </c>
      <c r="E233" s="66">
        <f t="shared" si="17"/>
        <v>0.2334258466273233</v>
      </c>
    </row>
    <row r="234" spans="1:5" x14ac:dyDescent="0.25">
      <c r="A234" s="64">
        <v>1.69</v>
      </c>
      <c r="B234" s="194">
        <v>94.11970875887549</v>
      </c>
      <c r="C234" s="65">
        <v>220.39591460029297</v>
      </c>
      <c r="D234" s="196">
        <f t="shared" si="16"/>
        <v>-2</v>
      </c>
      <c r="E234" s="66">
        <f t="shared" si="17"/>
        <v>0.23291669878502513</v>
      </c>
    </row>
    <row r="235" spans="1:5" x14ac:dyDescent="0.25">
      <c r="A235" s="64">
        <v>1.7</v>
      </c>
      <c r="B235" s="194">
        <v>94.104755596517776</v>
      </c>
      <c r="C235" s="65">
        <v>219.91888337615066</v>
      </c>
      <c r="D235" s="196">
        <f t="shared" si="16"/>
        <v>-2</v>
      </c>
      <c r="E235" s="66">
        <f t="shared" si="17"/>
        <v>0.23241256721731388</v>
      </c>
    </row>
    <row r="236" spans="1:5" x14ac:dyDescent="0.25">
      <c r="A236" s="64">
        <v>1.71</v>
      </c>
      <c r="B236" s="194">
        <v>94.089718054744381</v>
      </c>
      <c r="C236" s="65">
        <v>219.44652300423945</v>
      </c>
      <c r="D236" s="196">
        <f t="shared" si="16"/>
        <v>-2</v>
      </c>
      <c r="E236" s="66">
        <f t="shared" si="17"/>
        <v>0.23191337185490454</v>
      </c>
    </row>
    <row r="237" spans="1:5" x14ac:dyDescent="0.25">
      <c r="A237" s="64">
        <v>1.72</v>
      </c>
      <c r="B237" s="194">
        <v>94.07460015059516</v>
      </c>
      <c r="C237" s="65">
        <v>218.97875935326942</v>
      </c>
      <c r="D237" s="196">
        <f t="shared" si="16"/>
        <v>-2</v>
      </c>
      <c r="E237" s="66">
        <f t="shared" si="17"/>
        <v>0.23141903435507766</v>
      </c>
    </row>
    <row r="238" spans="1:5" x14ac:dyDescent="0.25">
      <c r="A238" s="64">
        <v>1.73</v>
      </c>
      <c r="B238" s="194">
        <v>94.059405771701833</v>
      </c>
      <c r="C238" s="65">
        <v>218.51551988213834</v>
      </c>
      <c r="D238" s="196">
        <f t="shared" si="16"/>
        <v>-2</v>
      </c>
      <c r="E238" s="66">
        <f t="shared" si="17"/>
        <v>0.23092947805564057</v>
      </c>
    </row>
    <row r="239" spans="1:5" x14ac:dyDescent="0.25">
      <c r="A239" s="64">
        <v>1.74</v>
      </c>
      <c r="B239" s="194">
        <v>94.044138680709679</v>
      </c>
      <c r="C239" s="65">
        <v>218.05673359774408</v>
      </c>
      <c r="D239" s="196">
        <f t="shared" si="16"/>
        <v>-2</v>
      </c>
      <c r="E239" s="66">
        <f t="shared" si="17"/>
        <v>0.23044462793034332</v>
      </c>
    </row>
    <row r="240" spans="1:5" x14ac:dyDescent="0.25">
      <c r="A240" s="64">
        <v>1.75</v>
      </c>
      <c r="B240" s="194">
        <v>94.028802519532434</v>
      </c>
      <c r="C240" s="65">
        <v>217.60233101412331</v>
      </c>
      <c r="D240" s="196">
        <f t="shared" si="16"/>
        <v>-2</v>
      </c>
      <c r="E240" s="66">
        <f t="shared" si="17"/>
        <v>0.22996441054569583</v>
      </c>
    </row>
    <row r="241" spans="1:5" x14ac:dyDescent="0.25">
      <c r="A241" s="64">
        <v>1.76</v>
      </c>
      <c r="B241" s="194">
        <v>94.013400813447348</v>
      </c>
      <c r="C241" s="65">
        <v>217.15224411286934</v>
      </c>
      <c r="D241" s="196">
        <f t="shared" si="16"/>
        <v>-2</v>
      </c>
      <c r="E241" s="66">
        <f t="shared" si="17"/>
        <v>0.22948875401913735</v>
      </c>
    </row>
    <row r="242" spans="1:5" x14ac:dyDescent="0.25">
      <c r="A242" s="64">
        <v>1.77</v>
      </c>
      <c r="B242" s="194">
        <v>93.997936975038712</v>
      </c>
      <c r="C242" s="65">
        <v>216.70640630478024</v>
      </c>
      <c r="D242" s="196">
        <f t="shared" si="16"/>
        <v>-2</v>
      </c>
      <c r="E242" s="66">
        <f t="shared" si="17"/>
        <v>0.22901758797850547</v>
      </c>
    </row>
    <row r="243" spans="1:5" x14ac:dyDescent="0.25">
      <c r="A243" s="64">
        <v>1.78</v>
      </c>
      <c r="B243" s="194">
        <v>93.982414307994119</v>
      </c>
      <c r="C243" s="65">
        <v>216.26475239269794</v>
      </c>
      <c r="D243" s="196">
        <f t="shared" si="16"/>
        <v>-2</v>
      </c>
      <c r="E243" s="66">
        <f t="shared" si="17"/>
        <v>0.22855084352276425</v>
      </c>
    </row>
    <row r="244" spans="1:5" x14ac:dyDescent="0.25">
      <c r="A244" s="64">
        <v>1.79</v>
      </c>
      <c r="B244" s="194">
        <v>93.966836010760801</v>
      </c>
      <c r="C244" s="65">
        <v>215.82721853548961</v>
      </c>
      <c r="D244" s="196">
        <f t="shared" si="16"/>
        <v>-2</v>
      </c>
      <c r="E244" s="66">
        <f t="shared" si="17"/>
        <v>0.22808845318393939</v>
      </c>
    </row>
    <row r="245" spans="1:5" x14ac:dyDescent="0.25">
      <c r="A245" s="64">
        <v>1.8</v>
      </c>
      <c r="B245" s="194">
        <v>93.951205180066822</v>
      </c>
      <c r="C245" s="65">
        <v>215.39374221313571</v>
      </c>
      <c r="D245" s="196">
        <f t="shared" si="16"/>
        <v>-2</v>
      </c>
      <c r="E245" s="66">
        <f t="shared" si="17"/>
        <v>0.22763035089022288</v>
      </c>
    </row>
    <row r="246" spans="1:5" x14ac:dyDescent="0.25">
      <c r="A246" s="64">
        <v>1.81</v>
      </c>
      <c r="B246" s="194">
        <v>93.935524814313254</v>
      </c>
      <c r="C246" s="65">
        <v>214.96426219288344</v>
      </c>
      <c r="D246" s="196">
        <f t="shared" si="16"/>
        <v>-2</v>
      </c>
      <c r="E246" s="66">
        <f t="shared" si="17"/>
        <v>0.22717647193020357</v>
      </c>
    </row>
    <row r="247" spans="1:5" x14ac:dyDescent="0.25">
      <c r="A247" s="64">
        <v>1.82</v>
      </c>
      <c r="B247" s="194">
        <v>93.919797816842305</v>
      </c>
      <c r="C247" s="65">
        <v>214.53871849642758</v>
      </c>
      <c r="D247" s="196">
        <f t="shared" si="16"/>
        <v>-2</v>
      </c>
      <c r="E247" s="66">
        <f t="shared" si="17"/>
        <v>0.22672675291818362</v>
      </c>
    </row>
    <row r="248" spans="1:5" x14ac:dyDescent="0.25">
      <c r="A248" s="64">
        <v>1.83</v>
      </c>
      <c r="B248" s="194">
        <v>93.904026999086327</v>
      </c>
      <c r="C248" s="65">
        <v>214.11705236808433</v>
      </c>
      <c r="D248" s="196">
        <f t="shared" si="16"/>
        <v>-2</v>
      </c>
      <c r="E248" s="66">
        <f t="shared" si="17"/>
        <v>0.22628113176054426</v>
      </c>
    </row>
    <row r="249" spans="1:5" x14ac:dyDescent="0.25">
      <c r="A249" s="64">
        <v>1.84</v>
      </c>
      <c r="B249" s="194">
        <v>93.888215083602418</v>
      </c>
      <c r="C249" s="65">
        <v>213.69920624392159</v>
      </c>
      <c r="D249" s="196">
        <f t="shared" si="16"/>
        <v>-2</v>
      </c>
      <c r="E249" s="66">
        <f t="shared" si="17"/>
        <v>0.22583954762312225</v>
      </c>
    </row>
    <row r="250" spans="1:5" x14ac:dyDescent="0.25">
      <c r="A250" s="64">
        <v>1.85</v>
      </c>
      <c r="B250" s="194">
        <v>93.872364706997544</v>
      </c>
      <c r="C250" s="65">
        <v>213.28512372181461</v>
      </c>
      <c r="D250" s="196">
        <f t="shared" si="16"/>
        <v>-2</v>
      </c>
      <c r="E250" s="66">
        <f t="shared" si="17"/>
        <v>0.22540194089956456</v>
      </c>
    </row>
    <row r="251" spans="1:5" x14ac:dyDescent="0.25">
      <c r="A251" s="64">
        <v>1.86</v>
      </c>
      <c r="B251" s="194">
        <v>93.856478422747855</v>
      </c>
      <c r="C251" s="65">
        <v>212.87474953239305</v>
      </c>
      <c r="D251" s="196">
        <f t="shared" si="16"/>
        <v>-2</v>
      </c>
      <c r="E251" s="66">
        <f t="shared" si="17"/>
        <v>0.22496825318062477</v>
      </c>
    </row>
    <row r="252" spans="1:5" x14ac:dyDescent="0.25">
      <c r="A252" s="64">
        <v>1.87</v>
      </c>
      <c r="B252" s="194">
        <v>93.840558703917296</v>
      </c>
      <c r="C252" s="65">
        <v>212.46802951084982</v>
      </c>
      <c r="D252" s="196">
        <f t="shared" si="16"/>
        <v>-2</v>
      </c>
      <c r="E252" s="66">
        <f t="shared" si="17"/>
        <v>0.22453842722437042</v>
      </c>
    </row>
    <row r="253" spans="1:5" x14ac:dyDescent="0.25">
      <c r="A253" s="64">
        <v>1.88</v>
      </c>
      <c r="B253" s="194">
        <v>93.824607945778538</v>
      </c>
      <c r="C253" s="65">
        <v>212.06491056958248</v>
      </c>
      <c r="D253" s="196">
        <f t="shared" si="16"/>
        <v>-2</v>
      </c>
      <c r="E253" s="66">
        <f t="shared" si="17"/>
        <v>0.22411240692727014</v>
      </c>
    </row>
    <row r="254" spans="1:5" x14ac:dyDescent="0.25">
      <c r="A254" s="64">
        <v>1.89</v>
      </c>
      <c r="B254" s="194">
        <v>93.8086284683408</v>
      </c>
      <c r="C254" s="65">
        <v>211.66534067163778</v>
      </c>
      <c r="D254" s="196">
        <f t="shared" si="16"/>
        <v>-2</v>
      </c>
      <c r="E254" s="66">
        <f t="shared" si="17"/>
        <v>0.2236901372961296</v>
      </c>
    </row>
    <row r="255" spans="1:5" x14ac:dyDescent="0.25">
      <c r="A255" s="64">
        <v>1.9</v>
      </c>
      <c r="B255" s="194">
        <v>93.792622518787709</v>
      </c>
      <c r="C255" s="65">
        <v>211.26926880493272</v>
      </c>
      <c r="D255" s="196">
        <f t="shared" si="16"/>
        <v>-2</v>
      </c>
      <c r="E255" s="66">
        <f t="shared" si="17"/>
        <v>0.223271564420848</v>
      </c>
    </row>
    <row r="256" spans="1:5" x14ac:dyDescent="0.25">
      <c r="A256" s="64">
        <v>1.91</v>
      </c>
      <c r="B256" s="194">
        <v>93.776592273828825</v>
      </c>
      <c r="C256" s="65">
        <v>210.8766449572264</v>
      </c>
      <c r="D256" s="196">
        <f t="shared" si="16"/>
        <v>-2</v>
      </c>
      <c r="E256" s="66">
        <f t="shared" si="17"/>
        <v>0.22285663544796808</v>
      </c>
    </row>
    <row r="257" spans="1:5" x14ac:dyDescent="0.25">
      <c r="A257" s="64">
        <v>1.92</v>
      </c>
      <c r="B257" s="194">
        <v>93.760539841968622</v>
      </c>
      <c r="C257" s="65">
        <v>210.48742009181683</v>
      </c>
      <c r="D257" s="196">
        <f t="shared" si="16"/>
        <v>-2</v>
      </c>
      <c r="E257" s="66">
        <f t="shared" si="17"/>
        <v>0.22244529855499226</v>
      </c>
    </row>
    <row r="258" spans="1:5" x14ac:dyDescent="0.25">
      <c r="A258" s="64">
        <v>1.93</v>
      </c>
      <c r="B258" s="194">
        <v>93.744467265695391</v>
      </c>
      <c r="C258" s="65">
        <v>210.10154612393768</v>
      </c>
      <c r="D258" s="196">
        <f t="shared" ref="D258:D265" si="18">INT((B259-B258)/(A259-A258))</f>
        <v>-2</v>
      </c>
      <c r="E258" s="66">
        <f t="shared" ref="E258:E266" si="19">C258/$C$65</f>
        <v>0.22203750292543856</v>
      </c>
    </row>
    <row r="259" spans="1:5" x14ac:dyDescent="0.25">
      <c r="A259" s="64">
        <v>1.94</v>
      </c>
      <c r="B259" s="194">
        <v>93.72837652359344</v>
      </c>
      <c r="C259" s="65">
        <v>209.71897589783345</v>
      </c>
      <c r="D259" s="196">
        <f t="shared" si="18"/>
        <v>-2</v>
      </c>
      <c r="E259" s="66">
        <f t="shared" si="19"/>
        <v>0.22163319872461323</v>
      </c>
    </row>
    <row r="260" spans="1:5" x14ac:dyDescent="0.25">
      <c r="A260" s="64">
        <v>1.95</v>
      </c>
      <c r="B260" s="194">
        <v>93.712269532382081</v>
      </c>
      <c r="C260" s="65">
        <v>209.33966316448959</v>
      </c>
      <c r="D260" s="196">
        <f t="shared" si="18"/>
        <v>-2</v>
      </c>
      <c r="E260" s="66">
        <f t="shared" si="19"/>
        <v>0.22123233707607587</v>
      </c>
    </row>
    <row r="261" spans="1:5" x14ac:dyDescent="0.25">
      <c r="A261" s="64">
        <v>1.96</v>
      </c>
      <c r="B261" s="194">
        <v>93.696148148883012</v>
      </c>
      <c r="C261" s="65">
        <v>208.96356255999521</v>
      </c>
      <c r="D261" s="196">
        <f t="shared" si="18"/>
        <v>-2</v>
      </c>
      <c r="E261" s="66">
        <f t="shared" si="19"/>
        <v>0.22083487003877278</v>
      </c>
    </row>
    <row r="262" spans="1:5" x14ac:dyDescent="0.25">
      <c r="A262" s="64">
        <v>1.97</v>
      </c>
      <c r="B262" s="194">
        <v>93.680014171920092</v>
      </c>
      <c r="C262" s="65">
        <v>208.59062958451935</v>
      </c>
      <c r="D262" s="196">
        <f t="shared" si="18"/>
        <v>-2</v>
      </c>
      <c r="E262" s="66">
        <f t="shared" si="19"/>
        <v>0.22044075058481899</v>
      </c>
    </row>
    <row r="263" spans="1:5" x14ac:dyDescent="0.25">
      <c r="A263" s="64">
        <v>1.98</v>
      </c>
      <c r="B263" s="194">
        <v>93.663869344153298</v>
      </c>
      <c r="C263" s="65">
        <v>208.22082058187911</v>
      </c>
      <c r="D263" s="196">
        <f t="shared" si="18"/>
        <v>-2</v>
      </c>
      <c r="E263" s="66">
        <f t="shared" si="19"/>
        <v>0.22004993257790556</v>
      </c>
    </row>
    <row r="264" spans="1:5" x14ac:dyDescent="0.25">
      <c r="A264" s="64">
        <v>1.99</v>
      </c>
      <c r="B264" s="194">
        <v>93.647715353849392</v>
      </c>
      <c r="C264" s="65">
        <v>207.85409271968138</v>
      </c>
      <c r="D264" s="196">
        <f t="shared" si="18"/>
        <v>-2</v>
      </c>
      <c r="E264" s="66">
        <f t="shared" si="19"/>
        <v>0.21966237075231321</v>
      </c>
    </row>
    <row r="265" spans="1:5" x14ac:dyDescent="0.25">
      <c r="A265" s="64">
        <v>2</v>
      </c>
      <c r="B265" s="194">
        <v>93.631553836591991</v>
      </c>
      <c r="C265" s="65">
        <v>207.49040397001929</v>
      </c>
      <c r="D265" s="196">
        <f t="shared" si="18"/>
        <v>-2</v>
      </c>
      <c r="E265" s="66">
        <f t="shared" si="19"/>
        <v>0.21927802069251209</v>
      </c>
    </row>
    <row r="266" spans="1:5" ht="15.75" thickBot="1" x14ac:dyDescent="0.3">
      <c r="A266" s="72">
        <v>2.0099999999999998</v>
      </c>
      <c r="B266" s="195">
        <v>93.615386376933458</v>
      </c>
      <c r="C266" s="73">
        <v>207.12971309070494</v>
      </c>
      <c r="D266" s="74"/>
      <c r="E266" s="75">
        <f t="shared" si="19"/>
        <v>0.2188968388133283</v>
      </c>
    </row>
  </sheetData>
  <mergeCells count="27">
    <mergeCell ref="J81:J85"/>
    <mergeCell ref="J86:J91"/>
    <mergeCell ref="H81:I81"/>
    <mergeCell ref="H82:I82"/>
    <mergeCell ref="H83:I83"/>
    <mergeCell ref="H86:I86"/>
    <mergeCell ref="H87:I87"/>
    <mergeCell ref="H88:I88"/>
    <mergeCell ref="H89:I89"/>
    <mergeCell ref="H90:I90"/>
    <mergeCell ref="H91:I91"/>
    <mergeCell ref="B9:D9"/>
    <mergeCell ref="B10:D10"/>
    <mergeCell ref="B6:D6"/>
    <mergeCell ref="F6:I6"/>
    <mergeCell ref="G63:J76"/>
    <mergeCell ref="K6:P6"/>
    <mergeCell ref="B7:D7"/>
    <mergeCell ref="K7:P7"/>
    <mergeCell ref="B8:D8"/>
    <mergeCell ref="A1:P1"/>
    <mergeCell ref="A3:D4"/>
    <mergeCell ref="F3:I4"/>
    <mergeCell ref="K3:P4"/>
    <mergeCell ref="B5:D5"/>
    <mergeCell ref="F5:I5"/>
    <mergeCell ref="K5:P5"/>
  </mergeCells>
  <conditionalFormatting sqref="B65:B266">
    <cfRule type="cellIs" dxfId="0" priority="3" operator="equal">
      <formula>$H$81</formula>
    </cfRule>
  </conditionalFormatting>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W37" sqref="W3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VonBert Means</vt:lpstr>
      <vt:lpstr>VonBert Raw Data</vt:lpstr>
      <vt:lpstr>Length_Weight</vt:lpstr>
      <vt:lpstr>Maturity Prob Length</vt:lpstr>
      <vt:lpstr>Maturity Prob Age</vt:lpstr>
      <vt:lpstr>Mortality</vt:lpstr>
      <vt:lpstr>Selectivity</vt:lpstr>
      <vt:lpstr>Using Select to predict</vt:lpstr>
      <vt:lpstr>YPR SSBRPR</vt:lpstr>
      <vt:lpstr>Graphs</vt:lpstr>
    </vt:vector>
  </TitlesOfParts>
  <Company>SCDNR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StephenJ</dc:creator>
  <cp:lastModifiedBy>Kyle Hoffman</cp:lastModifiedBy>
  <dcterms:created xsi:type="dcterms:W3CDTF">2009-10-08T19:18:49Z</dcterms:created>
  <dcterms:modified xsi:type="dcterms:W3CDTF">2021-12-16T17:57:01Z</dcterms:modified>
</cp:coreProperties>
</file>