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MAS291\"/>
    </mc:Choice>
  </mc:AlternateContent>
  <xr:revisionPtr revIDLastSave="0" documentId="13_ncr:1_{4753FD29-2792-413A-8BF4-83B02B7DA12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definedNames>
    <definedName name="_xlchart.v1.0" hidden="1">'Q2'!$E$1</definedName>
    <definedName name="_xlchart.v1.1" hidden="1">'Q2'!$E$2:$E$302</definedName>
    <definedName name="_xlchart.v1.10" hidden="1">'Q2'!$E$2:$E$302</definedName>
    <definedName name="_xlchart.v1.11" hidden="1">'Q2'!$D$2:$D$302</definedName>
    <definedName name="_xlchart.v1.12" hidden="1">'Q2'!$C$1</definedName>
    <definedName name="_xlchart.v1.13" hidden="1">'Q2'!$C$2:$C$302</definedName>
    <definedName name="_xlchart.v1.2" hidden="1">'Q2'!$B$1</definedName>
    <definedName name="_xlchart.v1.3" hidden="1">'Q2'!$B$2:$B$302</definedName>
    <definedName name="_xlchart.v1.4" hidden="1">'Q2'!$B$1</definedName>
    <definedName name="_xlchart.v1.5" hidden="1">'Q2'!$B$2:$B$302</definedName>
    <definedName name="_xlchart.v1.6" hidden="1">'Q2'!$C$1</definedName>
    <definedName name="_xlchart.v1.7" hidden="1">'Q2'!$C$2:$C$302</definedName>
    <definedName name="_xlchart.v1.8" hidden="1">'Q2'!$D$2:$D$302</definedName>
    <definedName name="_xlchart.v1.9" hidden="1">'Q2'!$E$1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8" l="1"/>
  <c r="M52" i="8"/>
  <c r="O13" i="5" l="1"/>
  <c r="O16" i="5" s="1"/>
  <c r="O19" i="5" s="1"/>
  <c r="L68" i="8" l="1"/>
  <c r="L66" i="8"/>
  <c r="L58" i="8"/>
  <c r="L25" i="8"/>
  <c r="P22" i="6"/>
  <c r="P20" i="6"/>
  <c r="L23" i="7" l="1"/>
  <c r="L24" i="7"/>
  <c r="L22" i="7"/>
  <c r="L18" i="7"/>
  <c r="L17" i="7"/>
  <c r="L16" i="7"/>
  <c r="L19" i="7" s="1"/>
  <c r="L15" i="7" l="1"/>
  <c r="P21" i="6" l="1"/>
  <c r="L45" i="6"/>
  <c r="L44" i="6"/>
  <c r="S17" i="6"/>
  <c r="S18" i="6" s="1"/>
  <c r="P17" i="6"/>
  <c r="P18" i="6" s="1"/>
  <c r="P16" i="6"/>
  <c r="S16" i="6"/>
  <c r="S15" i="6"/>
  <c r="P15" i="6"/>
  <c r="K30" i="4" l="1"/>
  <c r="K29" i="4"/>
  <c r="H3" i="2" l="1"/>
  <c r="J67" i="3"/>
  <c r="Q65" i="3"/>
  <c r="Q64" i="3"/>
  <c r="Q63" i="3"/>
  <c r="J65" i="3"/>
  <c r="J64" i="3"/>
  <c r="J63" i="3"/>
  <c r="O45" i="3"/>
  <c r="O44" i="3"/>
  <c r="O43" i="3"/>
  <c r="H45" i="3"/>
  <c r="H46" i="3" s="1"/>
  <c r="H44" i="3"/>
  <c r="H43" i="3"/>
  <c r="Q24" i="3"/>
  <c r="Q23" i="3"/>
  <c r="Q22" i="3"/>
  <c r="O3" i="3"/>
  <c r="O4" i="3" s="1"/>
  <c r="H3" i="3"/>
  <c r="H4" i="3" s="1"/>
  <c r="O2" i="3"/>
  <c r="O1" i="3"/>
  <c r="J26" i="3"/>
  <c r="J25" i="3" s="1"/>
  <c r="J24" i="3"/>
  <c r="J23" i="3"/>
  <c r="J22" i="3"/>
  <c r="H2" i="3"/>
  <c r="H1" i="3"/>
  <c r="K5" i="2"/>
  <c r="J5" i="2"/>
  <c r="I5" i="2"/>
  <c r="H5" i="2"/>
  <c r="K4" i="2"/>
  <c r="J4" i="2"/>
  <c r="I4" i="2"/>
  <c r="H4" i="2"/>
  <c r="J3" i="2"/>
  <c r="I3" i="2"/>
  <c r="K3" i="2"/>
  <c r="Q67" i="3" l="1"/>
  <c r="Q62" i="3" s="1"/>
  <c r="J66" i="3"/>
  <c r="O46" i="3"/>
  <c r="Q26" i="3"/>
  <c r="Q21" i="3" s="1"/>
  <c r="J21" i="3"/>
  <c r="Q66" i="3" l="1"/>
  <c r="J62" i="3"/>
  <c r="Q25" i="3"/>
</calcChain>
</file>

<file path=xl/sharedStrings.xml><?xml version="1.0" encoding="utf-8"?>
<sst xmlns="http://schemas.openxmlformats.org/spreadsheetml/2006/main" count="270" uniqueCount="170">
  <si>
    <t>Vietnam Income</t>
  </si>
  <si>
    <t>Vietnam Population</t>
  </si>
  <si>
    <t>Japan Income</t>
  </si>
  <si>
    <t>Japan Population</t>
  </si>
  <si>
    <t>Year</t>
  </si>
  <si>
    <t>Expected Value</t>
  </si>
  <si>
    <t>Variance</t>
  </si>
  <si>
    <t>Standard Deviation</t>
  </si>
  <si>
    <t>Vietnam Income Min</t>
  </si>
  <si>
    <t>Vietnam Income Max</t>
  </si>
  <si>
    <t>Khoảng cách các bin h = 3.5 * σ * n^(-1/3)</t>
  </si>
  <si>
    <t>Số lượng bin k = (max(x) - min(x)) / h</t>
  </si>
  <si>
    <t>Median Q2</t>
  </si>
  <si>
    <t>First Quartile Q1</t>
  </si>
  <si>
    <t>Third Quartile Q3</t>
  </si>
  <si>
    <t>The Interquartile Range (or IQR): IQR = Q3 − Q1</t>
  </si>
  <si>
    <t>Minimum Score Q1 − 1.5IQR</t>
  </si>
  <si>
    <t>Maximum Score Q3 + 1.5IQR</t>
  </si>
  <si>
    <t>Outliers: 32400, 34300, 35900, 37300, 39000, 40700, 42700, 44400, 45800, 47200, 48900</t>
  </si>
  <si>
    <t>Japan Income Min</t>
  </si>
  <si>
    <t>Japan Income Max</t>
  </si>
  <si>
    <t>Outliers: null</t>
  </si>
  <si>
    <t>Vietnam Population Min</t>
  </si>
  <si>
    <t>Vietnam Population Max</t>
  </si>
  <si>
    <t>Japan Population Min</t>
  </si>
  <si>
    <t>Nhóm 4</t>
  </si>
  <si>
    <t>Nguyễn Hoàng Đạt</t>
  </si>
  <si>
    <t>Nguyễn Thế Hiển</t>
  </si>
  <si>
    <t>Nguyễn Thượng Phong</t>
  </si>
  <si>
    <t>Trần Đại Việt</t>
  </si>
  <si>
    <t>QE170219</t>
  </si>
  <si>
    <t>SE173162</t>
  </si>
  <si>
    <t>SS171243</t>
  </si>
  <si>
    <t>SE170330</t>
  </si>
  <si>
    <t>QE170217</t>
  </si>
  <si>
    <t>Hứa Đức Bình</t>
  </si>
  <si>
    <t>SE171332</t>
  </si>
  <si>
    <t>Nguyễn Thị Ngọc Hân</t>
  </si>
  <si>
    <t>Nguyễn Hải Đăng</t>
  </si>
  <si>
    <t>QE170107</t>
  </si>
  <si>
    <t>t-Test: Two-Sample Assuming Unequal Variances</t>
  </si>
  <si>
    <t>Mean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</si>
  <si>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</si>
  <si>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</si>
  <si>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</si>
  <si>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</si>
  <si>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</si>
  <si>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</si>
  <si>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</si>
  <si>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</si>
  <si>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Giả thuyết không H0: Thu nhập trung bình của Nhật Bản trong khoảng năm 1800 đến 2100 bằng 30000</t>
  </si>
  <si>
    <t>Chọn ngẫu nhiên 1 mẫu có kích thước là 100 từ Thu nhập của Nhật Bản</t>
  </si>
  <si>
    <t>We conducted a study, randomly sampling 100 average incomes of Japan over the years.</t>
  </si>
  <si>
    <t>The research goal is to determine whether the average income of the Japanese population is different from the 30,000 USD level. Confidence Interval: 95%</t>
  </si>
  <si>
    <t>Lower-Confidence Interval</t>
  </si>
  <si>
    <t>Upper-Confidence Interval</t>
  </si>
  <si>
    <t>Giả thuyết thay thế H1: Thu nhập trung bình của Nhật Bản trong khoảng năm 1800 đến 2100 không bằng 30000</t>
  </si>
  <si>
    <t>Thu nhập trung bình của Nhật Bản bé hơn 30000 USD, đúng với giả thuyết H1 với khoảng tin cậy 95% từ 14555.3659 đến 23885.6341</t>
  </si>
  <si>
    <t>H0: µ0 == 30000</t>
  </si>
  <si>
    <t>H1: µ0 != 30000</t>
  </si>
  <si>
    <t>Độ tin cậy 1 - α = 95%</t>
  </si>
  <si>
    <t>Reject region H0 if t0 &lt; -tα/2,n-1 or t0 &gt; tα/2,n-1 =&gt; Reject H0</t>
  </si>
  <si>
    <t>t0 = -4.58 &lt; -tα/2,n-1 = -1.98</t>
  </si>
  <si>
    <t>VietNam Income</t>
  </si>
  <si>
    <t xml:space="preserve">Q5: Test a hypothesis and construct a confidence interval for the difference in means of two populations.    </t>
  </si>
  <si>
    <t>H0: µ1 - µ2 = 0</t>
  </si>
  <si>
    <t>H1: µ1 − µ2 ≠ 0</t>
  </si>
  <si>
    <t>t-Test: One-Sample</t>
  </si>
  <si>
    <t>Hypothesized Mean</t>
  </si>
  <si>
    <t>Dùng Excel</t>
  </si>
  <si>
    <t>Tính tay bằng hàm Excel</t>
  </si>
  <si>
    <t>Sample Size (n1)</t>
  </si>
  <si>
    <t>Sample Size (n2)</t>
  </si>
  <si>
    <r>
      <t>Sample Mean (x</t>
    </r>
    <r>
      <rPr>
        <sz val="11"/>
        <color theme="1"/>
        <rFont val="Calibri"/>
        <family val="2"/>
      </rPr>
      <t>͞1 )</t>
    </r>
  </si>
  <si>
    <r>
      <t>Sample Mean (x</t>
    </r>
    <r>
      <rPr>
        <sz val="11"/>
        <color theme="1"/>
        <rFont val="Calibri"/>
        <family val="2"/>
      </rPr>
      <t>͞2 )</t>
    </r>
  </si>
  <si>
    <t>Sample Standard deviation 1 (s1)</t>
  </si>
  <si>
    <t>Sample Standard deviation 2 (s2)</t>
  </si>
  <si>
    <t xml:space="preserve">Sample Variance </t>
  </si>
  <si>
    <t>v</t>
  </si>
  <si>
    <t>v = 146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</si>
  <si>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4.46</t>
    </r>
  </si>
  <si>
    <t>We have α = 0.05 and v = 146, so acceptance region is:  -1.976 ≤ t0 ≤ 1.976</t>
  </si>
  <si>
    <r>
      <t>The t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4.46 &gt; 1.976 = t</t>
    </r>
    <r>
      <rPr>
        <vertAlign val="subscript"/>
        <sz val="11"/>
        <color theme="1"/>
        <rFont val="Calibri"/>
        <family val="2"/>
        <scheme val="minor"/>
      </rPr>
      <t>0.025,146</t>
    </r>
  </si>
  <si>
    <t>Reject H0 at the α = 0.05 level.</t>
  </si>
  <si>
    <t xml:space="preserve">Conclude that evidence exists that the mean income are different for the two countries. </t>
  </si>
  <si>
    <t>Lower-Confidence Limit</t>
  </si>
  <si>
    <t>Upper-Confidence Limit</t>
  </si>
  <si>
    <t>The mean income in Japan is higher than the mean income in VietNam with a 95% confidence.</t>
  </si>
  <si>
    <t>The 95% confidence interval does not include the value 0, so we can conclude that there is a difference in the mean income between the two countries.</t>
  </si>
  <si>
    <t>We have two random data samples on income in Vietnam and Japan from 1800 to 2100. Each sample has 100 observations. Determine whether there is a difference between the means income of Vietnam and Japan in this period at a 0,05 significance level and assume unequal variances. And construct a 95% confidence interval for the difference in mean income between the two countries.</t>
  </si>
  <si>
    <t>Q6. Test a hypothesis and construct a confidence interval for the difference in proportions of two populations.</t>
  </si>
  <si>
    <t>Pool proportion</t>
  </si>
  <si>
    <t>Sample proportion 1 (vietnam)</t>
  </si>
  <si>
    <t>Sample proportion 2 (japan)</t>
  </si>
  <si>
    <t>Point estimator</t>
  </si>
  <si>
    <t>Standard Error</t>
  </si>
  <si>
    <t>Z-Critical two-tail</t>
  </si>
  <si>
    <t xml:space="preserve">Confidence level </t>
  </si>
  <si>
    <t>Upper Confidence interval</t>
  </si>
  <si>
    <t xml:space="preserve">Lower Confidence interval </t>
  </si>
  <si>
    <t>z-Stat ( z0 )</t>
  </si>
  <si>
    <r>
      <t xml:space="preserve">Since z0= -4.02858&lt;-1.96, </t>
    </r>
    <r>
      <rPr>
        <sz val="11"/>
        <color rgb="FFFF0000"/>
        <rFont val="Calibri"/>
        <family val="2"/>
        <scheme val="minor"/>
      </rPr>
      <t>we reject H0</t>
    </r>
  </si>
  <si>
    <t>There is evidence of a significant difference in the proportion of years with averrage incomes greater than 30000 between VietNam and Janpan</t>
  </si>
  <si>
    <r>
      <rPr>
        <b/>
        <sz val="12"/>
        <color theme="1"/>
        <rFont val="Calibri"/>
        <family val="2"/>
        <scheme val="minor"/>
      </rPr>
      <t>Conclusion:</t>
    </r>
    <r>
      <rPr>
        <sz val="12"/>
        <color theme="1"/>
        <rFont val="Calibri"/>
        <family val="2"/>
        <scheme val="minor"/>
      </rPr>
      <t xml:space="preserve"> We are 95% confident that the difference between the proportions of years with average incomes greater than $30,000 in Vietnam and Japan is between (-0.33726, -012274) .</t>
    </r>
  </si>
  <si>
    <t xml:space="preserve"> =&gt;  Confidence interval (-0.33726 , -012274)  does not contains 0, so we can be 95% confident the two proportion are different.</t>
  </si>
  <si>
    <t>Independent (x)</t>
  </si>
  <si>
    <t>Dependent (y)</t>
  </si>
  <si>
    <t>Việt Nam</t>
  </si>
  <si>
    <t>Population</t>
  </si>
  <si>
    <t>Income</t>
  </si>
  <si>
    <t>a) Identify two random variables X and Y in data.</t>
  </si>
  <si>
    <t>b) Construct a scatter plot for the data.</t>
  </si>
  <si>
    <t>c) Compute the sample correlation coefficient.</t>
  </si>
  <si>
    <t>R =</t>
  </si>
  <si>
    <t>d) Find the equation of the estimated regression line.</t>
  </si>
  <si>
    <t>SUMMARY OUTPUT</t>
  </si>
  <si>
    <t>Regression Statistics</t>
  </si>
  <si>
    <t>Multiple R</t>
  </si>
  <si>
    <t>R Square</t>
  </si>
  <si>
    <t>Adjusted R Square</t>
  </si>
  <si>
    <t>ANOVA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</si>
  <si>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</si>
  <si>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</si>
  <si>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</si>
  <si>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</si>
  <si>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</si>
  <si>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</si>
  <si>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</si>
  <si>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</si>
  <si>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</si>
  <si>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</si>
  <si>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</si>
  <si>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</si>
  <si>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</si>
  <si>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</si>
  <si>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</si>
  <si>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y^ = -19969.6 + 0.00031x</t>
  </si>
  <si>
    <t>Predict a future value for Y.</t>
  </si>
  <si>
    <r>
      <t xml:space="preserve">Give </t>
    </r>
    <r>
      <rPr>
        <b/>
        <sz val="11"/>
        <color theme="1"/>
        <rFont val="Calibri"/>
        <family val="2"/>
        <scheme val="minor"/>
      </rPr>
      <t>x =</t>
    </r>
    <r>
      <rPr>
        <sz val="11"/>
        <color theme="1"/>
        <rFont val="Calibri"/>
        <family val="2"/>
        <scheme val="minor"/>
      </rPr>
      <t xml:space="preserve">  </t>
    </r>
  </si>
  <si>
    <r>
      <rPr>
        <sz val="11"/>
        <color theme="1"/>
        <rFont val="Calibri"/>
        <family val="2"/>
        <scheme val="minor"/>
      </rPr>
      <t>We have</t>
    </r>
    <r>
      <rPr>
        <b/>
        <sz val="11"/>
        <color theme="1"/>
        <rFont val="Calibri"/>
        <family val="2"/>
        <scheme val="minor"/>
      </rPr>
      <t xml:space="preserve"> y =</t>
    </r>
  </si>
  <si>
    <t>e) Test the significance of regression.</t>
  </si>
  <si>
    <t>H0 : B1 = 0 (No linear relationship, not significant)</t>
  </si>
  <si>
    <t>Ha : B1 ≠ 0 (There is a linear relationship, significant)</t>
  </si>
  <si>
    <t xml:space="preserve">α = </t>
  </si>
  <si>
    <t xml:space="preserve">Degrees of Freedom = n - 2 = </t>
  </si>
  <si>
    <t>Critical t (Appendix F) = ±</t>
  </si>
  <si>
    <t>t =</t>
  </si>
  <si>
    <r>
      <rPr>
        <b/>
        <u/>
        <sz val="11"/>
        <color theme="1"/>
        <rFont val="Calibri"/>
        <family val="2"/>
        <scheme val="minor"/>
      </rPr>
      <t>Conclusion</t>
    </r>
    <r>
      <rPr>
        <b/>
        <sz val="11"/>
        <color theme="1"/>
        <rFont val="Calibri"/>
        <family val="2"/>
        <scheme val="minor"/>
      </rPr>
      <t>: Since 23.014 is greater than CV 2.037, Rejected H0 and conclude that it is significant, there is a linear relationship.</t>
    </r>
  </si>
  <si>
    <t>Q4. Test a hypothesis and construct a confidence interval for the proportion of a population.</t>
  </si>
  <si>
    <t>Determine the mean income of Japan is less than or equal 30.000. Data were collected from a random sample of 100 incomes</t>
  </si>
  <si>
    <t xml:space="preserve">of Japan. The results showed that 56 results of that sample had the income less than or equal 30.000. At the 0.05 significance </t>
  </si>
  <si>
    <t>level, is there any evidence that more than 40% of Japan income had the mean income less than or equal 30.000?</t>
  </si>
  <si>
    <t>np0=100*0.4=40</t>
  </si>
  <si>
    <t>H0: p == 0.4</t>
  </si>
  <si>
    <t>H1: p != 0.4</t>
  </si>
  <si>
    <t>X(&lt;=30000)</t>
  </si>
  <si>
    <t>Sample size (n)</t>
  </si>
  <si>
    <t>Proportion (p)</t>
  </si>
  <si>
    <t>Critical value (za/2)</t>
  </si>
  <si>
    <t>test statistic (z0)</t>
  </si>
  <si>
    <t>Conclusion: 1.96&lt; test statistic = 3,26598632371091. reject H0</t>
  </si>
  <si>
    <t>z0&gt;za , (3.27&gt;1.96) reject h0</t>
  </si>
  <si>
    <t>n(1-p0)=100*(1-0,4)=60</t>
  </si>
  <si>
    <t>x1 (Vietnam)</t>
  </si>
  <si>
    <t>x2 (Japan)</t>
  </si>
  <si>
    <t>n1 (vietnam)</t>
  </si>
  <si>
    <t>n2 (japan)</t>
  </si>
  <si>
    <t>Equation</t>
  </si>
  <si>
    <t xml:space="preserve">B0 = </t>
  </si>
  <si>
    <t>B1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</si>
</sst>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81C36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7" xfId="0" applyBorder="1"/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7" borderId="1" xfId="0" applyFill="1" applyBorder="1"/>
    <xf numFmtId="9" fontId="0" fillId="7" borderId="1" xfId="0" applyNumberFormat="1" applyFill="1" applyBorder="1"/>
    <xf numFmtId="0" fontId="11" fillId="8" borderId="0" xfId="0" applyFont="1" applyFill="1"/>
    <xf numFmtId="0" fontId="3" fillId="7" borderId="1" xfId="0" applyFont="1" applyFill="1" applyBorder="1" applyAlignment="1">
      <alignment horizontal="center"/>
    </xf>
    <xf numFmtId="0" fontId="0" fillId="7" borderId="0" xfId="0" applyFill="1"/>
    <xf numFmtId="0" fontId="3" fillId="7" borderId="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 vertical="center"/>
    </xf>
    <xf numFmtId="0" fontId="2" fillId="7" borderId="0" xfId="0" applyFont="1" applyFill="1"/>
    <xf numFmtId="0" fontId="0" fillId="8" borderId="0" xfId="0" applyFill="1" applyAlignment="1">
      <alignment vertical="center"/>
    </xf>
    <xf numFmtId="0" fontId="0" fillId="7" borderId="3" xfId="0" applyFill="1" applyBorder="1"/>
    <xf numFmtId="0" fontId="0" fillId="7" borderId="15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6" xfId="0" applyFill="1" applyBorder="1"/>
    <xf numFmtId="0" fontId="0" fillId="7" borderId="13" xfId="0" applyFill="1" applyBorder="1"/>
    <xf numFmtId="0" fontId="0" fillId="7" borderId="14" xfId="0" applyFill="1" applyBorder="1"/>
    <xf numFmtId="0" fontId="5" fillId="7" borderId="1" xfId="0" applyFont="1" applyFill="1" applyBorder="1"/>
    <xf numFmtId="0" fontId="0" fillId="7" borderId="2" xfId="0" applyFill="1" applyBorder="1"/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0" fillId="7" borderId="5" xfId="0" applyFill="1" applyBorder="1"/>
    <xf numFmtId="0" fontId="11" fillId="0" borderId="0" xfId="0" applyFont="1" applyAlignment="1">
      <alignment horizontal="left"/>
    </xf>
    <xf numFmtId="0" fontId="3" fillId="0" borderId="9" xfId="0" applyFont="1" applyBorder="1" applyAlignment="1">
      <alignment horizontal="centerContinuous"/>
    </xf>
    <xf numFmtId="0" fontId="0" fillId="9" borderId="1" xfId="0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2" fillId="9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7" fillId="3" borderId="1" xfId="0" applyFont="1" applyFill="1" applyBorder="1"/>
    <xf numFmtId="0" fontId="17" fillId="0" borderId="0" xfId="0" applyFont="1"/>
    <xf numFmtId="0" fontId="4" fillId="0" borderId="22" xfId="0" applyFont="1" applyBorder="1"/>
    <xf numFmtId="0" fontId="4" fillId="0" borderId="23" xfId="0" applyFont="1" applyBorder="1"/>
    <xf numFmtId="0" fontId="17" fillId="0" borderId="23" xfId="0" applyFont="1" applyBorder="1"/>
    <xf numFmtId="0" fontId="0" fillId="0" borderId="23" xfId="0" applyBorder="1"/>
    <xf numFmtId="0" fontId="17" fillId="0" borderId="24" xfId="0" applyFont="1" applyBorder="1"/>
    <xf numFmtId="0" fontId="17" fillId="0" borderId="17" xfId="0" applyFont="1" applyBorder="1"/>
    <xf numFmtId="0" fontId="0" fillId="0" borderId="17" xfId="0" applyBorder="1"/>
    <xf numFmtId="0" fontId="17" fillId="0" borderId="18" xfId="0" applyFont="1" applyBorder="1"/>
    <xf numFmtId="0" fontId="17" fillId="0" borderId="19" xfId="0" applyFont="1" applyBorder="1"/>
    <xf numFmtId="0" fontId="0" fillId="0" borderId="19" xfId="0" applyBorder="1"/>
    <xf numFmtId="0" fontId="17" fillId="0" borderId="7" xfId="0" applyFont="1" applyBorder="1"/>
    <xf numFmtId="0" fontId="17" fillId="0" borderId="21" xfId="0" applyFont="1" applyBorder="1"/>
    <xf numFmtId="0" fontId="17" fillId="0" borderId="20" xfId="0" applyFont="1" applyBorder="1"/>
    <xf numFmtId="0" fontId="17" fillId="9" borderId="0" xfId="0" applyFont="1" applyFill="1"/>
    <xf numFmtId="0" fontId="0" fillId="9" borderId="0" xfId="0" applyFill="1"/>
    <xf numFmtId="0" fontId="1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3" borderId="1" xfId="0" applyFill="1" applyBorder="1"/>
    <xf numFmtId="0" fontId="0" fillId="7" borderId="2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6" fillId="8" borderId="15" xfId="0" applyFont="1" applyFill="1" applyBorder="1"/>
    <xf numFmtId="0" fontId="6" fillId="8" borderId="10" xfId="0" applyFont="1" applyFill="1" applyBorder="1"/>
    <xf numFmtId="0" fontId="6" fillId="8" borderId="11" xfId="0" applyFont="1" applyFill="1" applyBorder="1"/>
    <xf numFmtId="0" fontId="2" fillId="8" borderId="16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0" fillId="8" borderId="2" xfId="0" applyFill="1" applyBorder="1"/>
    <xf numFmtId="0" fontId="0" fillId="8" borderId="8" xfId="0" applyFill="1" applyBorder="1"/>
    <xf numFmtId="0" fontId="0" fillId="8" borderId="3" xfId="0" applyFill="1" applyBorder="1"/>
    <xf numFmtId="0" fontId="0" fillId="7" borderId="16" xfId="0" applyFill="1" applyBorder="1"/>
    <xf numFmtId="0" fontId="0" fillId="7" borderId="13" xfId="0" applyFill="1" applyBorder="1"/>
    <xf numFmtId="0" fontId="0" fillId="7" borderId="0" xfId="0" applyFill="1"/>
    <xf numFmtId="0" fontId="0" fillId="7" borderId="12" xfId="0" applyFill="1" applyBorder="1"/>
    <xf numFmtId="0" fontId="18" fillId="10" borderId="6" xfId="0" applyFont="1" applyFill="1" applyBorder="1" applyAlignment="1">
      <alignment horizontal="left"/>
    </xf>
    <xf numFmtId="0" fontId="18" fillId="10" borderId="0" xfId="0" applyFont="1" applyFill="1" applyAlignment="1">
      <alignment horizontal="left"/>
    </xf>
    <xf numFmtId="0" fontId="17" fillId="3" borderId="15" xfId="0" applyFont="1" applyFill="1" applyBorder="1" applyAlignment="1">
      <alignment horizontal="left"/>
    </xf>
    <xf numFmtId="0" fontId="17" fillId="3" borderId="10" xfId="0" applyFont="1" applyFill="1" applyBorder="1" applyAlignment="1">
      <alignment horizontal="left"/>
    </xf>
    <xf numFmtId="0" fontId="17" fillId="3" borderId="11" xfId="0" applyFont="1" applyFill="1" applyBorder="1" applyAlignment="1">
      <alignment horizontal="left"/>
    </xf>
    <xf numFmtId="0" fontId="17" fillId="3" borderId="6" xfId="0" applyFont="1" applyFill="1" applyBorder="1" applyAlignment="1">
      <alignment horizontal="left"/>
    </xf>
    <xf numFmtId="0" fontId="17" fillId="3" borderId="0" xfId="0" applyFont="1" applyFill="1" applyAlignment="1">
      <alignment horizontal="left"/>
    </xf>
    <xf numFmtId="0" fontId="17" fillId="3" borderId="12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11" fillId="8" borderId="0" xfId="0" applyFont="1" applyFill="1" applyAlignment="1">
      <alignment horizontal="left"/>
    </xf>
    <xf numFmtId="0" fontId="8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3" fillId="8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4213830942229E-2"/>
          <c:y val="0.14212400167757394"/>
          <c:w val="0.88494084482912405"/>
          <c:h val="0.76898328762246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'Q7'!$H$2:$I$2</c:f>
              <c:strCache>
                <c:ptCount val="1"/>
                <c:pt idx="0">
                  <c:v>Population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96262087666759E-2"/>
                  <c:y val="-7.065417958398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'Q7'!$H$3:$H$36</c:f>
              <c:numCache>
                <c:formatCode>General</c:formatCode>
                <c:ptCount val="34"/>
                <c:pt idx="0">
                  <c:v>66900000.000000007</c:v>
                </c:pt>
                <c:pt idx="1">
                  <c:v>68400000</c:v>
                </c:pt>
                <c:pt idx="2">
                  <c:v>69800000</c:v>
                </c:pt>
                <c:pt idx="3">
                  <c:v>71200000</c:v>
                </c:pt>
                <c:pt idx="4">
                  <c:v>72500000</c:v>
                </c:pt>
                <c:pt idx="5">
                  <c:v>73800000</c:v>
                </c:pt>
                <c:pt idx="6">
                  <c:v>74900000</c:v>
                </c:pt>
                <c:pt idx="7">
                  <c:v>76100000</c:v>
                </c:pt>
                <c:pt idx="8">
                  <c:v>77100000</c:v>
                </c:pt>
                <c:pt idx="9">
                  <c:v>78100000</c:v>
                </c:pt>
                <c:pt idx="10">
                  <c:v>79000000</c:v>
                </c:pt>
                <c:pt idx="11">
                  <c:v>79800000</c:v>
                </c:pt>
                <c:pt idx="12">
                  <c:v>80600000</c:v>
                </c:pt>
                <c:pt idx="13">
                  <c:v>81500000</c:v>
                </c:pt>
                <c:pt idx="14">
                  <c:v>82300000</c:v>
                </c:pt>
                <c:pt idx="15">
                  <c:v>83100000</c:v>
                </c:pt>
                <c:pt idx="16">
                  <c:v>84000000</c:v>
                </c:pt>
                <c:pt idx="17">
                  <c:v>84800000</c:v>
                </c:pt>
                <c:pt idx="18">
                  <c:v>85600000</c:v>
                </c:pt>
                <c:pt idx="19">
                  <c:v>86500000</c:v>
                </c:pt>
                <c:pt idx="20">
                  <c:v>87400000</c:v>
                </c:pt>
                <c:pt idx="21">
                  <c:v>88300000</c:v>
                </c:pt>
                <c:pt idx="22">
                  <c:v>89300000</c:v>
                </c:pt>
                <c:pt idx="23">
                  <c:v>90300000</c:v>
                </c:pt>
                <c:pt idx="24">
                  <c:v>91200000</c:v>
                </c:pt>
                <c:pt idx="25">
                  <c:v>92200000</c:v>
                </c:pt>
                <c:pt idx="26">
                  <c:v>93100000</c:v>
                </c:pt>
                <c:pt idx="27">
                  <c:v>94000000</c:v>
                </c:pt>
                <c:pt idx="28">
                  <c:v>94900000</c:v>
                </c:pt>
                <c:pt idx="29">
                  <c:v>95800000</c:v>
                </c:pt>
                <c:pt idx="30">
                  <c:v>96600000</c:v>
                </c:pt>
                <c:pt idx="31">
                  <c:v>97500000</c:v>
                </c:pt>
                <c:pt idx="32">
                  <c:v>98200000</c:v>
                </c:pt>
                <c:pt idx="33">
                  <c:v>98900000</c:v>
                </c:pt>
              </c:numCache>
            </c:numRef>
          </c:xVal>
          <c:yVal>
            <c:numRef>
              <c:f>'Q7'!$I$3:$I$36</c:f>
              <c:numCache>
                <c:formatCode>General</c:formatCode>
                <c:ptCount val="34"/>
                <c:pt idx="0">
                  <c:v>2150</c:v>
                </c:pt>
                <c:pt idx="1">
                  <c:v>2220</c:v>
                </c:pt>
                <c:pt idx="2">
                  <c:v>2360</c:v>
                </c:pt>
                <c:pt idx="3">
                  <c:v>2500</c:v>
                </c:pt>
                <c:pt idx="4">
                  <c:v>2660</c:v>
                </c:pt>
                <c:pt idx="5">
                  <c:v>2860</c:v>
                </c:pt>
                <c:pt idx="6">
                  <c:v>3080</c:v>
                </c:pt>
                <c:pt idx="7">
                  <c:v>3270</c:v>
                </c:pt>
                <c:pt idx="8">
                  <c:v>3410</c:v>
                </c:pt>
                <c:pt idx="9">
                  <c:v>3520</c:v>
                </c:pt>
                <c:pt idx="10">
                  <c:v>3710</c:v>
                </c:pt>
                <c:pt idx="11">
                  <c:v>3900</c:v>
                </c:pt>
                <c:pt idx="12">
                  <c:v>4100</c:v>
                </c:pt>
                <c:pt idx="13">
                  <c:v>4340</c:v>
                </c:pt>
                <c:pt idx="14">
                  <c:v>4610</c:v>
                </c:pt>
                <c:pt idx="15">
                  <c:v>4910</c:v>
                </c:pt>
                <c:pt idx="16">
                  <c:v>5190</c:v>
                </c:pt>
                <c:pt idx="17">
                  <c:v>5510</c:v>
                </c:pt>
                <c:pt idx="18">
                  <c:v>5760</c:v>
                </c:pt>
                <c:pt idx="19">
                  <c:v>6010</c:v>
                </c:pt>
                <c:pt idx="20">
                  <c:v>6320</c:v>
                </c:pt>
                <c:pt idx="21">
                  <c:v>6660</c:v>
                </c:pt>
                <c:pt idx="22">
                  <c:v>6950</c:v>
                </c:pt>
                <c:pt idx="23">
                  <c:v>7260</c:v>
                </c:pt>
                <c:pt idx="24">
                  <c:v>7640</c:v>
                </c:pt>
                <c:pt idx="25">
                  <c:v>8090</c:v>
                </c:pt>
                <c:pt idx="26">
                  <c:v>8550</c:v>
                </c:pt>
                <c:pt idx="27">
                  <c:v>9050</c:v>
                </c:pt>
                <c:pt idx="28">
                  <c:v>9640</c:v>
                </c:pt>
                <c:pt idx="29">
                  <c:v>10300</c:v>
                </c:pt>
                <c:pt idx="30">
                  <c:v>10500</c:v>
                </c:pt>
                <c:pt idx="31">
                  <c:v>10600</c:v>
                </c:pt>
                <c:pt idx="32">
                  <c:v>11300</c:v>
                </c:pt>
                <c:pt idx="33">
                  <c:v>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1-4643-8E6D-0B0EA789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43423"/>
        <c:axId val="1132033855"/>
      </c:scatterChart>
      <c:valAx>
        <c:axId val="1132043423"/>
        <c:scaling>
          <c:orientation val="minMax"/>
          <c:min val="6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33855"/>
        <c:crosses val="autoZero"/>
        <c:crossBetween val="midCat"/>
      </c:valAx>
      <c:valAx>
        <c:axId val="11320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Vietnam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Histogram</a:t>
          </a:r>
        </a:p>
      </cx:txPr>
    </cx:title>
    <cx:plotArea>
      <cx:plotAreaRegion>
        <cx:series layoutId="clusteredColumn" uniqueId="{4A574C00-4ED4-441F-BE69-776BB17D8B07}">
          <cx:tx>
            <cx:txData>
              <cx:f>_xlchart.v1.2</cx:f>
              <cx:v>Vietnam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Vietnam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Boxplot</a:t>
          </a:r>
        </a:p>
      </cx:txPr>
    </cx:title>
    <cx:plotArea>
      <cx:plotAreaRegion>
        <cx:series layoutId="boxWhisker" uniqueId="{4A574C00-4ED4-441F-BE69-776BB17D8B07}">
          <cx:tx>
            <cx:txData>
              <cx:f>_xlchart.v1.4</cx:f>
              <cx:v>Vietnam 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Japan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Histogram</a:t>
          </a:r>
        </a:p>
      </cx:txPr>
    </cx:title>
    <cx:plotArea>
      <cx:plotAreaRegion>
        <cx:series layoutId="clusteredColumn" uniqueId="{97237498-A35B-4702-AABD-1835DEFAA9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Japan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Boxplot</a:t>
          </a:r>
        </a:p>
      </cx:txPr>
    </cx:title>
    <cx:plotArea>
      <cx:plotAreaRegion>
        <cx:series layoutId="boxWhisker" uniqueId="{97237498-A35B-4702-AABD-1835DEFAA910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Vietnam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Population Histogram</a:t>
          </a:r>
        </a:p>
      </cx:txPr>
    </cx:title>
    <cx:plotArea>
      <cx:plotAreaRegion>
        <cx:series layoutId="clusteredColumn" uniqueId="{D4C7590F-6280-48E2-B1EB-2CF9982F6DF4}">
          <cx:tx>
            <cx:txData>
              <cx:f>_xlchart.v1.12</cx:f>
              <cx:v>Vietnam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Japan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Population Histogram</a:t>
          </a:r>
        </a:p>
      </cx:txPr>
    </cx:title>
    <cx:plotArea>
      <cx:plotAreaRegion>
        <cx:series layoutId="clusteredColumn" uniqueId="{17A29D42-A2B6-4FE7-9227-A7620AD457DE}">
          <cx:tx>
            <cx:txData>
              <cx:f>_xlchart.v1.0</cx:f>
              <cx:v>Japan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Vietnam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 Boxplot</a:t>
            </a:r>
          </a:p>
        </cx:rich>
      </cx:tx>
    </cx:title>
    <cx:plotArea>
      <cx:plotAreaRegion>
        <cx:series layoutId="boxWhisker" uniqueId="{D4C7590F-6280-48E2-B1EB-2CF9982F6DF4}">
          <cx:tx>
            <cx:txData>
              <cx:f>_xlchart.v1.6</cx:f>
              <cx:v>Vietnam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Japan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Boxplot</a:t>
            </a:r>
          </a:p>
        </cx:rich>
      </cx:tx>
    </cx:title>
    <cx:plotArea>
      <cx:plotAreaRegion>
        <cx:series layoutId="boxWhisker" uniqueId="{17A29D42-A2B6-4FE7-9227-A7620AD457DE}">
          <cx:tx>
            <cx:txData>
              <cx:f>_xlchart.v1.9</cx:f>
              <cx:v>Japan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</xdr:row>
      <xdr:rowOff>0</xdr:rowOff>
    </xdr:from>
    <xdr:ext cx="4800600" cy="214312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B83A14C3-9DEE-4C6E-9242-0278C80794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64015" y="1271954"/>
          <a:ext cx="4800600" cy="21431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7620</xdr:rowOff>
    </xdr:from>
    <xdr:to>
      <xdr:col>12</xdr:col>
      <xdr:colOff>15240</xdr:colOff>
      <xdr:row>19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A8F064-238F-72F1-D185-BCCDD6DFD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6360" y="922020"/>
              <a:ext cx="589788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15240</xdr:rowOff>
    </xdr:from>
    <xdr:to>
      <xdr:col>12</xdr:col>
      <xdr:colOff>7620</xdr:colOff>
      <xdr:row>41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AD9F2A-1E5D-4A7D-B1E1-35748089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8740" y="4953000"/>
              <a:ext cx="589788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</xdr:colOff>
      <xdr:row>5</xdr:row>
      <xdr:rowOff>7620</xdr:rowOff>
    </xdr:from>
    <xdr:to>
      <xdr:col>19</xdr:col>
      <xdr:colOff>15240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770A6B-0DDA-4C4B-9DFD-1C0A2ED6D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6220" y="922020"/>
              <a:ext cx="581406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601980</xdr:colOff>
      <xdr:row>27</xdr:row>
      <xdr:rowOff>15240</xdr:rowOff>
    </xdr:from>
    <xdr:to>
      <xdr:col>19</xdr:col>
      <xdr:colOff>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F6955EE-B770-43DB-BAE2-5C2E7B191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0980" y="4953000"/>
              <a:ext cx="581406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46</xdr:row>
      <xdr:rowOff>7620</xdr:rowOff>
    </xdr:from>
    <xdr:to>
      <xdr:col>12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BAF5BD-5BA6-498F-8260-425A71D60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8740" y="8420100"/>
              <a:ext cx="589788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46</xdr:row>
      <xdr:rowOff>15240</xdr:rowOff>
    </xdr:from>
    <xdr:to>
      <xdr:col>19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043F5E8-0B32-40CB-BECE-98A17E296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8600" y="8427720"/>
              <a:ext cx="581406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68</xdr:row>
      <xdr:rowOff>7620</xdr:rowOff>
    </xdr:from>
    <xdr:to>
      <xdr:col>12</xdr:col>
      <xdr:colOff>15240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DC3AFBC-7485-462C-B7F8-0499AD9DD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6360" y="12443460"/>
              <a:ext cx="589788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68</xdr:row>
      <xdr:rowOff>15240</xdr:rowOff>
    </xdr:from>
    <xdr:to>
      <xdr:col>19</xdr:col>
      <xdr:colOff>7620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C338DF-AA8F-4106-BEC4-9E3F6D792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8600" y="12451080"/>
              <a:ext cx="581406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106437</xdr:colOff>
      <xdr:row>24</xdr:row>
      <xdr:rowOff>16393</xdr:rowOff>
    </xdr:from>
    <xdr:ext cx="703728" cy="337506"/>
    <xdr:pic>
      <xdr:nvPicPr>
        <xdr:cNvPr id="2" name="Picture 1">
          <a:extLst>
            <a:ext uri="{FF2B5EF4-FFF2-40B4-BE49-F238E27FC236}">
              <a16:creationId xmlns:a16="http://schemas.microsoft.com/office/drawing/2014/main" id="{0CE2FA03-67C5-4BD7-8501-B55D41166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678" y="4443876"/>
          <a:ext cx="703728" cy="337506"/>
        </a:xfrm>
        <a:prstGeom prst="rect">
          <a:avLst/>
        </a:prstGeom>
      </xdr:spPr>
    </xdr:pic>
    <xdr:clientData/>
  </xdr:oneCellAnchor>
  <xdr:oneCellAnchor>
    <xdr:from>
      <xdr:col>11</xdr:col>
      <xdr:colOff>148843</xdr:colOff>
      <xdr:row>27</xdr:row>
      <xdr:rowOff>157317</xdr:rowOff>
    </xdr:from>
    <xdr:ext cx="2131379" cy="375101"/>
    <xdr:pic>
      <xdr:nvPicPr>
        <xdr:cNvPr id="3" name="Picture 2">
          <a:extLst>
            <a:ext uri="{FF2B5EF4-FFF2-40B4-BE49-F238E27FC236}">
              <a16:creationId xmlns:a16="http://schemas.microsoft.com/office/drawing/2014/main" id="{900FEC48-3385-4996-AA04-E94609915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8275" y="5088194"/>
          <a:ext cx="2131379" cy="37510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25626</xdr:colOff>
      <xdr:row>23</xdr:row>
      <xdr:rowOff>166309</xdr:rowOff>
    </xdr:from>
    <xdr:to>
      <xdr:col>14</xdr:col>
      <xdr:colOff>65773</xdr:colOff>
      <xdr:row>25</xdr:row>
      <xdr:rowOff>158978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4617D-4192-42F6-9F05-13543AD2A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0686" y="4029649"/>
          <a:ext cx="2478547" cy="358429"/>
        </a:xfrm>
        <a:prstGeom prst="rect">
          <a:avLst/>
        </a:prstGeom>
      </xdr:spPr>
    </xdr:pic>
    <xdr:clientData/>
  </xdr:twoCellAnchor>
  <xdr:twoCellAnchor editAs="oneCell">
    <xdr:from>
      <xdr:col>10</xdr:col>
      <xdr:colOff>159980</xdr:colOff>
      <xdr:row>17</xdr:row>
      <xdr:rowOff>174250</xdr:rowOff>
    </xdr:from>
    <xdr:to>
      <xdr:col>13</xdr:col>
      <xdr:colOff>284896</xdr:colOff>
      <xdr:row>20</xdr:row>
      <xdr:rowOff>164045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ECCD2E-A368-4BC4-9CB0-6A4CF0F4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5040" y="2940310"/>
          <a:ext cx="1953716" cy="5384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25</xdr:row>
      <xdr:rowOff>7620</xdr:rowOff>
    </xdr:from>
    <xdr:to>
      <xdr:col>10</xdr:col>
      <xdr:colOff>1787704</xdr:colOff>
      <xdr:row>29</xdr:row>
      <xdr:rowOff>56191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33BFF-2BC8-477A-9EBB-25795096E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4579620"/>
          <a:ext cx="1787704" cy="780091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29</xdr:row>
      <xdr:rowOff>114300</xdr:rowOff>
    </xdr:from>
    <xdr:to>
      <xdr:col>10</xdr:col>
      <xdr:colOff>1488921</xdr:colOff>
      <xdr:row>33</xdr:row>
      <xdr:rowOff>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F8D17-B652-48DE-9F87-B7A8B522A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7660" y="5417820"/>
          <a:ext cx="1504161" cy="6331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12</xdr:col>
      <xdr:colOff>317102</xdr:colOff>
      <xdr:row>42</xdr:row>
      <xdr:rowOff>69585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5914F3-D21B-44D6-9D07-31AB1414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7345680"/>
          <a:ext cx="4012803" cy="4353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594360</xdr:colOff>
      <xdr:row>2</xdr:row>
      <xdr:rowOff>15240</xdr:rowOff>
    </xdr:from>
    <xdr:to>
      <xdr:col>19</xdr:col>
      <xdr:colOff>10668</xdr:colOff>
      <xdr:row>8</xdr:row>
      <xdr:rowOff>138230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90FD05-6078-4A11-8076-FD0561A4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381000"/>
          <a:ext cx="7011459" cy="122027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13</xdr:row>
      <xdr:rowOff>0</xdr:rowOff>
    </xdr:from>
    <xdr:to>
      <xdr:col>16</xdr:col>
      <xdr:colOff>587519</xdr:colOff>
      <xdr:row>15</xdr:row>
      <xdr:rowOff>40497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DE6CFF-BA61-4F0F-B917-FC44B124B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7380" y="2377440"/>
          <a:ext cx="3018299" cy="406257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45721</xdr:colOff>
      <xdr:row>9</xdr:row>
      <xdr:rowOff>23855</xdr:rowOff>
    </xdr:from>
    <xdr:to>
      <xdr:col>15</xdr:col>
      <xdr:colOff>571500</xdr:colOff>
      <xdr:row>12</xdr:row>
      <xdr:rowOff>154665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51BEA1-3D90-4145-8838-69F8C3605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6061" y="1669775"/>
          <a:ext cx="2354579" cy="6794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21021</xdr:colOff>
      <xdr:row>18</xdr:row>
      <xdr:rowOff>110359</xdr:rowOff>
    </xdr:from>
    <xdr:to>
      <xdr:col>14</xdr:col>
      <xdr:colOff>368244</xdr:colOff>
      <xdr:row>21</xdr:row>
      <xdr:rowOff>172879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24B73E-DBBF-4046-85CC-139160A2A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3711" y="3421118"/>
          <a:ext cx="1566423" cy="61431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20</xdr:col>
      <xdr:colOff>456678</xdr:colOff>
      <xdr:row>24</xdr:row>
      <xdr:rowOff>3322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4CAF49-4AE1-4C65-A475-9D5F84869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81490" y="3494690"/>
          <a:ext cx="3504678" cy="92297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21</xdr:col>
      <xdr:colOff>562303</xdr:colOff>
      <xdr:row>18</xdr:row>
      <xdr:rowOff>152205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1A8FFD-6952-4EF3-92A8-341709C15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63600" y="1665514"/>
          <a:ext cx="3000703" cy="18177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872837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8A4B5-1FD4-480E-AD3C-2639BB6D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26894</xdr:colOff>
      <xdr:row>23</xdr:row>
      <xdr:rowOff>8965</xdr:rowOff>
    </xdr:from>
    <xdr:to>
      <xdr:col>14</xdr:col>
      <xdr:colOff>52760</xdr:colOff>
      <xdr:row>26</xdr:row>
      <xdr:rowOff>165913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F9CECC-035A-416E-812C-6EB08E13E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6729" y="4132730"/>
          <a:ext cx="1854666" cy="69483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11</xdr:col>
      <xdr:colOff>726321</xdr:colOff>
      <xdr:row>51</xdr:row>
      <xdr:rowOff>1120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38BF0E-6055-4322-9E82-EE4A7BB7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7176" y="8839200"/>
          <a:ext cx="2510298" cy="359708"/>
        </a:xfrm>
        <a:prstGeom prst="rect">
          <a:avLst/>
        </a:prstGeom>
      </xdr:spPr>
    </xdr:pic>
    <xdr:clientData/>
  </xdr:twoCellAnchor>
  <xdr:twoCellAnchor editAs="oneCell">
    <xdr:from>
      <xdr:col>12</xdr:col>
      <xdr:colOff>53789</xdr:colOff>
      <xdr:row>65</xdr:row>
      <xdr:rowOff>143435</xdr:rowOff>
    </xdr:from>
    <xdr:to>
      <xdr:col>13</xdr:col>
      <xdr:colOff>64994</xdr:colOff>
      <xdr:row>68</xdr:row>
      <xdr:rowOff>130373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CE4CCD-4A8D-45C3-BA93-47CDC3E6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5507" y="11851341"/>
          <a:ext cx="952499" cy="524820"/>
        </a:xfrm>
        <a:prstGeom prst="rect">
          <a:avLst/>
        </a:prstGeom>
      </xdr:spPr>
    </xdr:pic>
    <xdr:clientData/>
  </xdr:twoCellAnchor>
  <xdr:twoCellAnchor editAs="oneCell">
    <xdr:from>
      <xdr:col>13</xdr:col>
      <xdr:colOff>41622</xdr:colOff>
      <xdr:row>52</xdr:row>
      <xdr:rowOff>41621</xdr:rowOff>
    </xdr:from>
    <xdr:to>
      <xdr:col>16</xdr:col>
      <xdr:colOff>456898</xdr:colOff>
      <xdr:row>55</xdr:row>
      <xdr:rowOff>71517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688435-B386-49D5-8483-96929B4E2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96908" y="9729907"/>
          <a:ext cx="3071390" cy="585067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49</xdr:row>
      <xdr:rowOff>10886</xdr:rowOff>
    </xdr:from>
    <xdr:to>
      <xdr:col>15</xdr:col>
      <xdr:colOff>270327</xdr:colOff>
      <xdr:row>52</xdr:row>
      <xdr:rowOff>29294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BC144-E539-4203-8A63-74F3E9CD0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07686" y="9144000"/>
          <a:ext cx="1859641" cy="573580"/>
        </a:xfrm>
        <a:prstGeom prst="rect">
          <a:avLst/>
        </a:prstGeom>
      </xdr:spPr>
    </xdr:pic>
    <xdr:clientData/>
  </xdr:twoCellAnchor>
  <xdr:twoCellAnchor editAs="oneCell">
    <xdr:from>
      <xdr:col>15</xdr:col>
      <xdr:colOff>405973</xdr:colOff>
      <xdr:row>49</xdr:row>
      <xdr:rowOff>0</xdr:rowOff>
    </xdr:from>
    <xdr:to>
      <xdr:col>17</xdr:col>
      <xdr:colOff>882395</xdr:colOff>
      <xdr:row>52</xdr:row>
      <xdr:rowOff>17292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8E86AB-4478-4C26-BC54-ADF043AA5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02973" y="9133114"/>
          <a:ext cx="2337879" cy="572464"/>
        </a:xfrm>
        <a:prstGeom prst="rect">
          <a:avLst/>
        </a:prstGeom>
      </xdr:spPr>
    </xdr:pic>
    <xdr:clientData/>
  </xdr:twoCellAnchor>
  <xdr:twoCellAnchor editAs="oneCell">
    <xdr:from>
      <xdr:col>13</xdr:col>
      <xdr:colOff>163285</xdr:colOff>
      <xdr:row>65</xdr:row>
      <xdr:rowOff>10886</xdr:rowOff>
    </xdr:from>
    <xdr:to>
      <xdr:col>14</xdr:col>
      <xdr:colOff>803864</xdr:colOff>
      <xdr:row>68</xdr:row>
      <xdr:rowOff>160623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C4FFCD-2308-4977-902E-905E9E2E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18571" y="12104915"/>
          <a:ext cx="1533207" cy="704908"/>
        </a:xfrm>
        <a:prstGeom prst="rect">
          <a:avLst/>
        </a:prstGeom>
      </xdr:spPr>
    </xdr:pic>
    <xdr:clientData/>
  </xdr:twoCellAnchor>
  <xdr:twoCellAnchor editAs="oneCell">
    <xdr:from>
      <xdr:col>15</xdr:col>
      <xdr:colOff>32657</xdr:colOff>
      <xdr:row>65</xdr:row>
      <xdr:rowOff>152400</xdr:rowOff>
    </xdr:from>
    <xdr:to>
      <xdr:col>16</xdr:col>
      <xdr:colOff>277948</xdr:colOff>
      <xdr:row>68</xdr:row>
      <xdr:rowOff>102084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F06E1E1-3249-44E5-BA2C-A1C4E302B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29657" y="12246429"/>
          <a:ext cx="1159691" cy="504855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413657</xdr:colOff>
      <xdr:row>64</xdr:row>
      <xdr:rowOff>174172</xdr:rowOff>
    </xdr:from>
    <xdr:to>
      <xdr:col>18</xdr:col>
      <xdr:colOff>234180</xdr:colOff>
      <xdr:row>68</xdr:row>
      <xdr:rowOff>62641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6F6B64-8865-4B89-AEF4-61179F925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25057" y="12083143"/>
          <a:ext cx="1660209" cy="628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workbookViewId="0">
      <selection activeCell="C302" sqref="C302"/>
    </sheetView>
  </sheetViews>
  <sheetFormatPr defaultRowHeight="14.4" x14ac:dyDescent="0.3"/>
  <cols>
    <col min="1" max="1" width="7.44140625" style="1" bestFit="1" customWidth="1"/>
    <col min="2" max="2" width="14.44140625" style="1" bestFit="1" customWidth="1"/>
    <col min="3" max="3" width="17.21875" style="1" bestFit="1" customWidth="1"/>
    <col min="4" max="4" width="12.21875" style="1" bestFit="1" customWidth="1"/>
    <col min="5" max="5" width="15" style="1" bestFit="1" customWidth="1"/>
    <col min="9" max="9" width="19.44140625" bestFit="1" customWidth="1"/>
    <col min="10" max="10" width="9.33203125" bestFit="1" customWidth="1"/>
  </cols>
  <sheetData>
    <row r="1" spans="1:10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I1" s="5" t="s">
        <v>25</v>
      </c>
      <c r="J1" s="5"/>
    </row>
    <row r="2" spans="1:10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I2" s="5" t="s">
        <v>26</v>
      </c>
      <c r="J2" s="5" t="s">
        <v>33</v>
      </c>
    </row>
    <row r="3" spans="1:10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I3" s="5" t="s">
        <v>27</v>
      </c>
      <c r="J3" s="5" t="s">
        <v>32</v>
      </c>
    </row>
    <row r="4" spans="1:10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I4" s="5" t="s">
        <v>28</v>
      </c>
      <c r="J4" s="5" t="s">
        <v>31</v>
      </c>
    </row>
    <row r="5" spans="1:10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I5" s="5" t="s">
        <v>29</v>
      </c>
      <c r="J5" s="5" t="s">
        <v>30</v>
      </c>
    </row>
    <row r="6" spans="1:10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I6" s="5" t="s">
        <v>35</v>
      </c>
      <c r="J6" s="5" t="s">
        <v>34</v>
      </c>
    </row>
    <row r="7" spans="1:10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I7" s="5" t="s">
        <v>37</v>
      </c>
      <c r="J7" s="5" t="s">
        <v>36</v>
      </c>
    </row>
    <row r="8" spans="1:10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I8" s="5" t="s">
        <v>38</v>
      </c>
      <c r="J8" s="5" t="s">
        <v>39</v>
      </c>
    </row>
    <row r="9" spans="1:10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10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10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10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10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10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10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10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EED1-4067-4BC2-B159-044F31CB9F53}">
  <dimension ref="A1:K302"/>
  <sheetViews>
    <sheetView zoomScaleNormal="100" workbookViewId="0">
      <selection activeCell="H3" sqref="H3"/>
    </sheetView>
  </sheetViews>
  <sheetFormatPr defaultRowHeight="14.4" x14ac:dyDescent="0.3"/>
  <cols>
    <col min="1" max="1" width="5" bestFit="1" customWidth="1"/>
    <col min="2" max="2" width="14.44140625" bestFit="1" customWidth="1"/>
    <col min="3" max="3" width="17.21875" bestFit="1" customWidth="1"/>
    <col min="4" max="4" width="12.21875" bestFit="1" customWidth="1"/>
    <col min="5" max="5" width="15" bestFit="1" customWidth="1"/>
    <col min="7" max="7" width="17.21875" bestFit="1" customWidth="1"/>
    <col min="8" max="8" width="14.77734375" bestFit="1" customWidth="1"/>
    <col min="9" max="9" width="17.88671875" bestFit="1" customWidth="1"/>
    <col min="10" max="10" width="12.44140625" bestFit="1" customWidth="1"/>
    <col min="11" max="11" width="15.5546875" bestFit="1" customWidth="1"/>
  </cols>
  <sheetData>
    <row r="1" spans="1:1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/>
      <c r="H2" s="3" t="s">
        <v>0</v>
      </c>
      <c r="I2" s="3" t="s">
        <v>1</v>
      </c>
      <c r="J2" s="3" t="s">
        <v>2</v>
      </c>
      <c r="K2" s="3" t="s">
        <v>3</v>
      </c>
    </row>
    <row r="3" spans="1:11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5</v>
      </c>
      <c r="H3" s="3">
        <f>AVERAGE(B2:B302)</f>
        <v>9232.6245847176087</v>
      </c>
      <c r="I3" s="3">
        <f>AVERAGE(C2:C302)</f>
        <v>46886511.627906978</v>
      </c>
      <c r="J3" s="3">
        <f>AVERAGE(D2:D302)</f>
        <v>23454.617940199336</v>
      </c>
      <c r="K3" s="3">
        <f>AVERAGE(E2:E302)</f>
        <v>74147508.305647835</v>
      </c>
    </row>
    <row r="4" spans="1:11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6</v>
      </c>
      <c r="H4" s="3">
        <f>_xlfn.VAR.P(B2:B302)</f>
        <v>177491544.93879759</v>
      </c>
      <c r="I4" s="3">
        <f>_xlfn.VAR.P(C2:C302)</f>
        <v>1616774381518967.5</v>
      </c>
      <c r="J4" s="3">
        <f>_xlfn.VAR.P(D2:D302)</f>
        <v>620410338.4752928</v>
      </c>
      <c r="K4" s="3">
        <f>_xlfn.VAR.P(E2:E302)</f>
        <v>1237532261233320.3</v>
      </c>
    </row>
    <row r="5" spans="1:11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3" t="s">
        <v>7</v>
      </c>
      <c r="H5" s="3">
        <f>_xlfn.STDEV.P(B2:B302)</f>
        <v>13322.595277902785</v>
      </c>
      <c r="I5" s="3">
        <f>_xlfn.STDEV.P(C2:C302)</f>
        <v>40209133.061021939</v>
      </c>
      <c r="J5" s="3">
        <f>_xlfn.STDEV.P(D2:D302)</f>
        <v>24908.03762794839</v>
      </c>
      <c r="K5" s="3">
        <f>_xlfn.STDEV.P(E2:E302)</f>
        <v>35178576.736890882</v>
      </c>
    </row>
    <row r="6" spans="1:11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11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11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11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11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11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11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11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11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11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11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63F8-4361-49E6-A3E9-00FF533898A9}">
  <dimension ref="A1:R303"/>
  <sheetViews>
    <sheetView topLeftCell="A2" zoomScaleNormal="100" workbookViewId="0">
      <selection activeCell="H4" sqref="H4"/>
    </sheetView>
  </sheetViews>
  <sheetFormatPr defaultRowHeight="14.4" x14ac:dyDescent="0.3"/>
  <cols>
    <col min="1" max="1" width="5.109375" bestFit="1" customWidth="1"/>
    <col min="2" max="2" width="14.5546875" bestFit="1" customWidth="1"/>
    <col min="3" max="3" width="17.44140625" bestFit="1" customWidth="1"/>
    <col min="4" max="4" width="12.21875" bestFit="1" customWidth="1"/>
    <col min="5" max="5" width="15.21875" bestFit="1" customWidth="1"/>
    <col min="7" max="7" width="38" customWidth="1"/>
    <col min="8" max="8" width="11.109375" bestFit="1" customWidth="1"/>
    <col min="11" max="11" width="10.109375" customWidth="1"/>
    <col min="14" max="14" width="38" customWidth="1"/>
    <col min="15" max="15" width="11.109375" bestFit="1" customWidth="1"/>
  </cols>
  <sheetData>
    <row r="1" spans="1:1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8</v>
      </c>
      <c r="H1" s="3">
        <f>MIN(B2:B302)</f>
        <v>1120</v>
      </c>
      <c r="N1" s="3" t="s">
        <v>19</v>
      </c>
      <c r="O1" s="3">
        <f>MIN(D2:D302)</f>
        <v>1830</v>
      </c>
    </row>
    <row r="2" spans="1:16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 t="s">
        <v>9</v>
      </c>
      <c r="H2" s="3">
        <f>MAX(B2:B302)</f>
        <v>48900</v>
      </c>
      <c r="N2" s="3" t="s">
        <v>20</v>
      </c>
      <c r="O2" s="3">
        <f>MAX(D2:D302)</f>
        <v>74700</v>
      </c>
      <c r="P2" s="4"/>
    </row>
    <row r="3" spans="1:16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10</v>
      </c>
      <c r="H3" s="3">
        <f>_xlfn.CEILING.MATH(3.5*'Q1'!H5*POWER(302,-1/3),1000)</f>
        <v>7000</v>
      </c>
      <c r="N3" s="3" t="s">
        <v>10</v>
      </c>
      <c r="O3" s="3">
        <f>_xlfn.CEILING.MATH(3.5*'Q1'!J5*POWER(302,-1/3),1000)</f>
        <v>13000</v>
      </c>
      <c r="P3" s="4"/>
    </row>
    <row r="4" spans="1:16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11</v>
      </c>
      <c r="H4" s="3">
        <f>_xlfn.CEILING.MATH((H2-H1)/H3)</f>
        <v>7</v>
      </c>
      <c r="N4" s="3" t="s">
        <v>11</v>
      </c>
      <c r="O4" s="3">
        <f>_xlfn.CEILING.MATH((O2-O1)/O3)</f>
        <v>6</v>
      </c>
      <c r="P4" s="4"/>
    </row>
    <row r="5" spans="1:16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P5" s="4"/>
    </row>
    <row r="6" spans="1:16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P6" s="4"/>
    </row>
    <row r="7" spans="1:16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P7" s="4"/>
    </row>
    <row r="8" spans="1:16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P8" s="4"/>
    </row>
    <row r="9" spans="1:16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P9" s="4"/>
    </row>
    <row r="10" spans="1:16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P10" s="4"/>
    </row>
    <row r="11" spans="1:16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P11" s="4"/>
    </row>
    <row r="12" spans="1:16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P12" s="4"/>
    </row>
    <row r="13" spans="1:16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P13" s="4"/>
    </row>
    <row r="14" spans="1:16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P14" s="4"/>
    </row>
    <row r="15" spans="1:16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P15" s="4"/>
    </row>
    <row r="16" spans="1:16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P16" s="4"/>
    </row>
    <row r="17" spans="1:18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P17" s="4"/>
    </row>
    <row r="18" spans="1:18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P18" s="4"/>
    </row>
    <row r="19" spans="1:18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P19" s="4"/>
    </row>
    <row r="20" spans="1:18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P20" s="4"/>
    </row>
    <row r="21" spans="1:18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64" t="s">
        <v>16</v>
      </c>
      <c r="H21" s="64"/>
      <c r="I21" s="64"/>
      <c r="J21" s="64">
        <f>J22-1.5*J26</f>
        <v>-17550</v>
      </c>
      <c r="K21" s="64"/>
      <c r="N21" s="64" t="s">
        <v>16</v>
      </c>
      <c r="O21" s="64"/>
      <c r="P21" s="64"/>
      <c r="Q21" s="64">
        <f>Q22-1.5*Q26</f>
        <v>-60550</v>
      </c>
      <c r="R21" s="64"/>
    </row>
    <row r="22" spans="1:18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64" t="s">
        <v>13</v>
      </c>
      <c r="H22" s="64"/>
      <c r="I22" s="64"/>
      <c r="J22" s="64">
        <f>_xlfn.QUARTILE.EXC(B2:B302,1)</f>
        <v>1170</v>
      </c>
      <c r="K22" s="64"/>
      <c r="N22" s="64" t="s">
        <v>13</v>
      </c>
      <c r="O22" s="64"/>
      <c r="P22" s="64"/>
      <c r="Q22" s="64">
        <f>_xlfn.QUARTILE.EXC(D2:D302,1)</f>
        <v>2240</v>
      </c>
      <c r="R22" s="64"/>
    </row>
    <row r="23" spans="1:18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64" t="s">
        <v>12</v>
      </c>
      <c r="H23" s="64"/>
      <c r="I23" s="64"/>
      <c r="J23" s="64">
        <f>_xlfn.QUARTILE.EXC(B2:B302,2)</f>
        <v>1560</v>
      </c>
      <c r="K23" s="64"/>
      <c r="N23" s="64" t="s">
        <v>12</v>
      </c>
      <c r="O23" s="64"/>
      <c r="P23" s="64"/>
      <c r="Q23" s="64">
        <f>_xlfn.QUARTILE.EXC(D2:D302,2)</f>
        <v>6140</v>
      </c>
      <c r="R23" s="64"/>
    </row>
    <row r="24" spans="1:18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64" t="s">
        <v>14</v>
      </c>
      <c r="H24" s="64"/>
      <c r="I24" s="64"/>
      <c r="J24" s="64">
        <f>_xlfn.QUARTILE.EXC(B2:B302,3)</f>
        <v>13650</v>
      </c>
      <c r="K24" s="64"/>
      <c r="N24" s="64" t="s">
        <v>14</v>
      </c>
      <c r="O24" s="64"/>
      <c r="P24" s="64"/>
      <c r="Q24" s="64">
        <f>_xlfn.QUARTILE.EXC(D2:D302,3)</f>
        <v>44100</v>
      </c>
      <c r="R24" s="64"/>
    </row>
    <row r="25" spans="1:18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64" t="s">
        <v>17</v>
      </c>
      <c r="H25" s="64"/>
      <c r="I25" s="64"/>
      <c r="J25" s="64">
        <f>J24+1.5*J26</f>
        <v>32370</v>
      </c>
      <c r="K25" s="64"/>
      <c r="N25" s="64" t="s">
        <v>17</v>
      </c>
      <c r="O25" s="64"/>
      <c r="P25" s="64"/>
      <c r="Q25" s="64">
        <f>Q24+1.5*Q26</f>
        <v>106890</v>
      </c>
      <c r="R25" s="64"/>
    </row>
    <row r="26" spans="1:18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64" t="s">
        <v>15</v>
      </c>
      <c r="H26" s="64"/>
      <c r="I26" s="64"/>
      <c r="J26" s="64">
        <f>J24-J22</f>
        <v>12480</v>
      </c>
      <c r="K26" s="64"/>
      <c r="N26" s="64" t="s">
        <v>15</v>
      </c>
      <c r="O26" s="64"/>
      <c r="P26" s="64"/>
      <c r="Q26" s="64">
        <f>Q24-Q22</f>
        <v>41860</v>
      </c>
      <c r="R26" s="64"/>
    </row>
    <row r="27" spans="1:18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64" t="s">
        <v>18</v>
      </c>
      <c r="H27" s="64"/>
      <c r="I27" s="64"/>
      <c r="J27" s="64"/>
      <c r="K27" s="64"/>
      <c r="N27" s="64" t="s">
        <v>21</v>
      </c>
      <c r="O27" s="64"/>
      <c r="P27" s="64"/>
      <c r="Q27" s="64"/>
      <c r="R27" s="64"/>
    </row>
    <row r="28" spans="1:18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P28" s="4"/>
    </row>
    <row r="29" spans="1:18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P29" s="4"/>
    </row>
    <row r="30" spans="1:18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P30" s="4"/>
    </row>
    <row r="31" spans="1:18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P31" s="4"/>
    </row>
    <row r="32" spans="1:18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P32" s="4"/>
    </row>
    <row r="33" spans="1:16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P33" s="4"/>
    </row>
    <row r="34" spans="1:16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P34" s="4"/>
    </row>
    <row r="35" spans="1:16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P35" s="4"/>
    </row>
    <row r="36" spans="1:16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P36" s="4"/>
    </row>
    <row r="37" spans="1:16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P37" s="4"/>
    </row>
    <row r="38" spans="1:16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P38" s="4"/>
    </row>
    <row r="39" spans="1:16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P39" s="4"/>
    </row>
    <row r="40" spans="1:16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P40" s="4"/>
    </row>
    <row r="41" spans="1:16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P41" s="4"/>
    </row>
    <row r="42" spans="1:16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P42" s="4"/>
    </row>
    <row r="43" spans="1:16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3" t="s">
        <v>22</v>
      </c>
      <c r="H43" s="3">
        <f>MIN(C2:C302)</f>
        <v>4000000</v>
      </c>
      <c r="N43" s="3" t="s">
        <v>24</v>
      </c>
      <c r="O43" s="3">
        <f>MIN(E2:E302)</f>
        <v>28000000</v>
      </c>
      <c r="P43" s="4"/>
    </row>
    <row r="44" spans="1:16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3" t="s">
        <v>23</v>
      </c>
      <c r="H44" s="3">
        <f>MAX(C2:C302)</f>
        <v>107000000</v>
      </c>
      <c r="N44" s="3" t="s">
        <v>20</v>
      </c>
      <c r="O44" s="3">
        <f>MAX(E2:E302)</f>
        <v>128000000</v>
      </c>
      <c r="P44" s="4"/>
    </row>
    <row r="45" spans="1:16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3" t="s">
        <v>10</v>
      </c>
      <c r="H45" s="3">
        <f>_xlfn.CEILING.MATH(3.5*'Q1'!I5*POWER(302,-1/3),1000)</f>
        <v>20977000</v>
      </c>
      <c r="N45" s="3" t="s">
        <v>10</v>
      </c>
      <c r="O45" s="3">
        <f>_xlfn.CEILING.MATH(3.5*'Q1'!K5*POWER(302,-1/3),1000)</f>
        <v>18352000</v>
      </c>
      <c r="P45" s="4"/>
    </row>
    <row r="46" spans="1:16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3" t="s">
        <v>11</v>
      </c>
      <c r="H46" s="3">
        <f>_xlfn.CEILING.MATH((H44-H43)/H45)</f>
        <v>5</v>
      </c>
      <c r="N46" s="3" t="s">
        <v>11</v>
      </c>
      <c r="O46" s="3">
        <f>_xlfn.CEILING.MATH((O44-O43)/O45)</f>
        <v>6</v>
      </c>
      <c r="P46" s="4"/>
    </row>
    <row r="47" spans="1:16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P47" s="4"/>
    </row>
    <row r="48" spans="1:16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P48" s="4"/>
    </row>
    <row r="49" spans="1:18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P49" s="4"/>
    </row>
    <row r="50" spans="1:18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P50" s="4"/>
    </row>
    <row r="51" spans="1:18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P51" s="4"/>
    </row>
    <row r="52" spans="1:18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P52" s="4"/>
    </row>
    <row r="53" spans="1:18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P53" s="4"/>
    </row>
    <row r="54" spans="1:18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P54" s="4"/>
    </row>
    <row r="55" spans="1:18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P55" s="4"/>
    </row>
    <row r="56" spans="1:18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P56" s="4"/>
    </row>
    <row r="57" spans="1:18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P57" s="4"/>
    </row>
    <row r="58" spans="1:18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P58" s="4"/>
    </row>
    <row r="59" spans="1:18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P59" s="4"/>
    </row>
    <row r="60" spans="1:18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P60" s="4"/>
    </row>
    <row r="61" spans="1:18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P61" s="4"/>
    </row>
    <row r="62" spans="1:18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64" t="s">
        <v>16</v>
      </c>
      <c r="H62" s="64"/>
      <c r="I62" s="64"/>
      <c r="J62" s="64">
        <f>J63-1.5*J67</f>
        <v>-114750000</v>
      </c>
      <c r="K62" s="64"/>
      <c r="N62" s="64" t="s">
        <v>16</v>
      </c>
      <c r="O62" s="64"/>
      <c r="P62" s="64"/>
      <c r="Q62" s="64">
        <f>Q63-1.5*Q67</f>
        <v>-71500000</v>
      </c>
      <c r="R62" s="64"/>
    </row>
    <row r="63" spans="1:18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64" t="s">
        <v>13</v>
      </c>
      <c r="H63" s="64"/>
      <c r="I63" s="64"/>
      <c r="J63" s="64">
        <f>_xlfn.QUARTILE.EXC(C2:C302,1)</f>
        <v>10650000</v>
      </c>
      <c r="K63" s="64"/>
      <c r="N63" s="64" t="s">
        <v>13</v>
      </c>
      <c r="O63" s="64"/>
      <c r="P63" s="64"/>
      <c r="Q63" s="64">
        <f>_xlfn.QUARTILE.EXC(E2:E302,1)</f>
        <v>35600000</v>
      </c>
      <c r="R63" s="64"/>
    </row>
    <row r="64" spans="1:18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64" t="s">
        <v>12</v>
      </c>
      <c r="H64" s="64"/>
      <c r="I64" s="64"/>
      <c r="J64" s="64">
        <f>_xlfn.QUARTILE.EXC(C2:C302,2)</f>
        <v>25100000</v>
      </c>
      <c r="K64" s="64"/>
      <c r="N64" s="64" t="s">
        <v>12</v>
      </c>
      <c r="O64" s="64"/>
      <c r="P64" s="64"/>
      <c r="Q64" s="64">
        <f>_xlfn.QUARTILE.EXC(E2:E302,2)</f>
        <v>76600000</v>
      </c>
      <c r="R64" s="64"/>
    </row>
    <row r="65" spans="1:18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64" t="s">
        <v>14</v>
      </c>
      <c r="H65" s="64"/>
      <c r="I65" s="64"/>
      <c r="J65" s="64">
        <f>_xlfn.QUARTILE.EXC(C2:C302,3)</f>
        <v>94250000</v>
      </c>
      <c r="K65" s="64"/>
      <c r="N65" s="64" t="s">
        <v>14</v>
      </c>
      <c r="O65" s="64"/>
      <c r="P65" s="64"/>
      <c r="Q65" s="64">
        <f>_xlfn.QUARTILE.EXC(E2:E302,3)</f>
        <v>107000000</v>
      </c>
      <c r="R65" s="64"/>
    </row>
    <row r="66" spans="1:18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64" t="s">
        <v>17</v>
      </c>
      <c r="H66" s="64"/>
      <c r="I66" s="64"/>
      <c r="J66" s="64">
        <f>J65+1.5*J67</f>
        <v>219650000</v>
      </c>
      <c r="K66" s="64"/>
      <c r="N66" s="64" t="s">
        <v>17</v>
      </c>
      <c r="O66" s="64"/>
      <c r="P66" s="64"/>
      <c r="Q66" s="64">
        <f>Q65+1.5*Q67</f>
        <v>214100000</v>
      </c>
      <c r="R66" s="64"/>
    </row>
    <row r="67" spans="1:18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64" t="s">
        <v>15</v>
      </c>
      <c r="H67" s="64"/>
      <c r="I67" s="64"/>
      <c r="J67" s="64">
        <f>J65-J63</f>
        <v>83600000</v>
      </c>
      <c r="K67" s="64"/>
      <c r="N67" s="64" t="s">
        <v>15</v>
      </c>
      <c r="O67" s="64"/>
      <c r="P67" s="64"/>
      <c r="Q67" s="64">
        <f>Q65-Q63</f>
        <v>71400000</v>
      </c>
      <c r="R67" s="64"/>
    </row>
    <row r="68" spans="1:18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64" t="s">
        <v>21</v>
      </c>
      <c r="H68" s="64"/>
      <c r="I68" s="64"/>
      <c r="J68" s="64"/>
      <c r="K68" s="64"/>
      <c r="N68" s="64" t="s">
        <v>21</v>
      </c>
      <c r="O68" s="64"/>
      <c r="P68" s="64"/>
      <c r="Q68" s="64"/>
      <c r="R68" s="64"/>
    </row>
    <row r="69" spans="1:18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P69" s="4"/>
    </row>
    <row r="70" spans="1:18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P70" s="4"/>
    </row>
    <row r="71" spans="1:18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P71" s="4"/>
    </row>
    <row r="72" spans="1:18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P72" s="4"/>
    </row>
    <row r="73" spans="1:18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P73" s="4"/>
    </row>
    <row r="74" spans="1:18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P74" s="4"/>
    </row>
    <row r="75" spans="1:18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P75" s="4"/>
    </row>
    <row r="76" spans="1:18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P76" s="4"/>
    </row>
    <row r="77" spans="1:18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P77" s="4"/>
    </row>
    <row r="78" spans="1:18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P78" s="4"/>
    </row>
    <row r="79" spans="1:18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P79" s="4"/>
    </row>
    <row r="80" spans="1:18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P80" s="4"/>
    </row>
    <row r="81" spans="1:16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P81" s="4"/>
    </row>
    <row r="82" spans="1:16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P82" s="4"/>
    </row>
    <row r="83" spans="1:16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P83" s="4"/>
    </row>
    <row r="84" spans="1:16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P84" s="4"/>
    </row>
    <row r="85" spans="1:16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P85" s="4"/>
    </row>
    <row r="86" spans="1:16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P86" s="4"/>
    </row>
    <row r="87" spans="1:16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P87" s="4"/>
    </row>
    <row r="88" spans="1:16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P88" s="4"/>
    </row>
    <row r="89" spans="1:16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P89" s="4"/>
    </row>
    <row r="90" spans="1:16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P90" s="4"/>
    </row>
    <row r="91" spans="1:16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P91" s="4"/>
    </row>
    <row r="92" spans="1:16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P92" s="4"/>
    </row>
    <row r="93" spans="1:16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P93" s="4"/>
    </row>
    <row r="94" spans="1:16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P94" s="4"/>
    </row>
    <row r="95" spans="1:16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P95" s="4"/>
    </row>
    <row r="96" spans="1:16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P96" s="4"/>
    </row>
    <row r="97" spans="1:16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P97" s="4"/>
    </row>
    <row r="98" spans="1:16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P98" s="4"/>
    </row>
    <row r="99" spans="1:16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P99" s="4"/>
    </row>
    <row r="100" spans="1:16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P100" s="4"/>
    </row>
    <row r="101" spans="1:16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P101" s="4"/>
    </row>
    <row r="102" spans="1:16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  <c r="P102" s="4"/>
    </row>
    <row r="103" spans="1:16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  <c r="P103" s="4"/>
    </row>
    <row r="104" spans="1:16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  <c r="P104" s="4"/>
    </row>
    <row r="105" spans="1:16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  <c r="P105" s="4"/>
    </row>
    <row r="106" spans="1:16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  <c r="P106" s="4"/>
    </row>
    <row r="107" spans="1:16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  <c r="P107" s="4"/>
    </row>
    <row r="108" spans="1:16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  <c r="P108" s="4"/>
    </row>
    <row r="109" spans="1:16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  <c r="P109" s="4"/>
    </row>
    <row r="110" spans="1:16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  <c r="P110" s="4"/>
    </row>
    <row r="111" spans="1:16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  <c r="P111" s="4"/>
    </row>
    <row r="112" spans="1:16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  <c r="P112" s="4"/>
    </row>
    <row r="113" spans="1:16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  <c r="P113" s="4"/>
    </row>
    <row r="114" spans="1:16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  <c r="P114" s="4"/>
    </row>
    <row r="115" spans="1:16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  <c r="P115" s="4"/>
    </row>
    <row r="116" spans="1:16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  <c r="P116" s="4"/>
    </row>
    <row r="117" spans="1:16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  <c r="P117" s="4"/>
    </row>
    <row r="118" spans="1:16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  <c r="P118" s="4"/>
    </row>
    <row r="119" spans="1:16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  <c r="P119" s="4"/>
    </row>
    <row r="120" spans="1:16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  <c r="P120" s="4"/>
    </row>
    <row r="121" spans="1:16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  <c r="P121" s="4"/>
    </row>
    <row r="122" spans="1:16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  <c r="P122" s="4"/>
    </row>
    <row r="123" spans="1:16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  <c r="P123" s="4"/>
    </row>
    <row r="124" spans="1:16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  <c r="P124" s="4"/>
    </row>
    <row r="125" spans="1:16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  <c r="P125" s="4"/>
    </row>
    <row r="126" spans="1:16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  <c r="P126" s="4"/>
    </row>
    <row r="127" spans="1:16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  <c r="P127" s="4"/>
    </row>
    <row r="128" spans="1:16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  <c r="P128" s="4"/>
    </row>
    <row r="129" spans="1:16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  <c r="P129" s="4"/>
    </row>
    <row r="130" spans="1:16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  <c r="P130" s="4"/>
    </row>
    <row r="131" spans="1:16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  <c r="P131" s="4"/>
    </row>
    <row r="132" spans="1:16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  <c r="P132" s="4"/>
    </row>
    <row r="133" spans="1:16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  <c r="P133" s="4"/>
    </row>
    <row r="134" spans="1:16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  <c r="P134" s="4"/>
    </row>
    <row r="135" spans="1:16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  <c r="P135" s="4"/>
    </row>
    <row r="136" spans="1:16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  <c r="P136" s="4"/>
    </row>
    <row r="137" spans="1:16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  <c r="P137" s="4"/>
    </row>
    <row r="138" spans="1:16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  <c r="P138" s="4"/>
    </row>
    <row r="139" spans="1:16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  <c r="P139" s="4"/>
    </row>
    <row r="140" spans="1:16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  <c r="P140" s="4"/>
    </row>
    <row r="141" spans="1:16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  <c r="P141" s="4"/>
    </row>
    <row r="142" spans="1:16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  <c r="P142" s="4"/>
    </row>
    <row r="143" spans="1:16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  <c r="P143" s="4"/>
    </row>
    <row r="144" spans="1:16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  <c r="P144" s="4"/>
    </row>
    <row r="145" spans="1:16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  <c r="P145" s="4"/>
    </row>
    <row r="146" spans="1:16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  <c r="P146" s="4"/>
    </row>
    <row r="147" spans="1:16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  <c r="P147" s="4"/>
    </row>
    <row r="148" spans="1:16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  <c r="P148" s="4"/>
    </row>
    <row r="149" spans="1:16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  <c r="P149" s="4"/>
    </row>
    <row r="150" spans="1:16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  <c r="P150" s="4"/>
    </row>
    <row r="151" spans="1:16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  <c r="P151" s="4"/>
    </row>
    <row r="152" spans="1:16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  <c r="P152" s="4"/>
    </row>
    <row r="153" spans="1:16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  <c r="P153" s="4"/>
    </row>
    <row r="154" spans="1:16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  <c r="P154" s="4"/>
    </row>
    <row r="155" spans="1:16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  <c r="P155" s="4"/>
    </row>
    <row r="156" spans="1:16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  <c r="P156" s="4"/>
    </row>
    <row r="157" spans="1:16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  <c r="P157" s="4"/>
    </row>
    <row r="158" spans="1:16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  <c r="P158" s="4"/>
    </row>
    <row r="159" spans="1:16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  <c r="P159" s="4"/>
    </row>
    <row r="160" spans="1:16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  <c r="P160" s="4"/>
    </row>
    <row r="161" spans="1:16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  <c r="P161" s="4"/>
    </row>
    <row r="162" spans="1:16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  <c r="P162" s="4"/>
    </row>
    <row r="163" spans="1:16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  <c r="P163" s="4"/>
    </row>
    <row r="164" spans="1:16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  <c r="P164" s="4"/>
    </row>
    <row r="165" spans="1:16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  <c r="P165" s="4"/>
    </row>
    <row r="166" spans="1:16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  <c r="P166" s="4"/>
    </row>
    <row r="167" spans="1:16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  <c r="P167" s="4"/>
    </row>
    <row r="168" spans="1:16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  <c r="P168" s="4"/>
    </row>
    <row r="169" spans="1:16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  <c r="P169" s="4"/>
    </row>
    <row r="170" spans="1:16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  <c r="P170" s="4"/>
    </row>
    <row r="171" spans="1:16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  <c r="P171" s="4"/>
    </row>
    <row r="172" spans="1:16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  <c r="P172" s="4"/>
    </row>
    <row r="173" spans="1:16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  <c r="P173" s="4"/>
    </row>
    <row r="174" spans="1:16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  <c r="P174" s="4"/>
    </row>
    <row r="175" spans="1:16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  <c r="P175" s="4"/>
    </row>
    <row r="176" spans="1:16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  <c r="P176" s="4"/>
    </row>
    <row r="177" spans="1:16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  <c r="P177" s="4"/>
    </row>
    <row r="178" spans="1:16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  <c r="P178" s="4"/>
    </row>
    <row r="179" spans="1:16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  <c r="P179" s="4"/>
    </row>
    <row r="180" spans="1:16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  <c r="P180" s="4"/>
    </row>
    <row r="181" spans="1:16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  <c r="P181" s="4"/>
    </row>
    <row r="182" spans="1:16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  <c r="P182" s="4"/>
    </row>
    <row r="183" spans="1:16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  <c r="P183" s="4"/>
    </row>
    <row r="184" spans="1:16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  <c r="P184" s="4"/>
    </row>
    <row r="185" spans="1:16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  <c r="P185" s="4"/>
    </row>
    <row r="186" spans="1:16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  <c r="P186" s="4"/>
    </row>
    <row r="187" spans="1:16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  <c r="P187" s="4"/>
    </row>
    <row r="188" spans="1:16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  <c r="P188" s="4"/>
    </row>
    <row r="189" spans="1:16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  <c r="P189" s="4"/>
    </row>
    <row r="190" spans="1:16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  <c r="P190" s="4"/>
    </row>
    <row r="191" spans="1:16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  <c r="P191" s="4"/>
    </row>
    <row r="192" spans="1:16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  <c r="P192" s="4"/>
    </row>
    <row r="193" spans="1:16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  <c r="P193" s="4"/>
    </row>
    <row r="194" spans="1:16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  <c r="P194" s="4"/>
    </row>
    <row r="195" spans="1:16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  <c r="P195" s="4"/>
    </row>
    <row r="196" spans="1:16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  <c r="P196" s="4"/>
    </row>
    <row r="197" spans="1:16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  <c r="P197" s="4"/>
    </row>
    <row r="198" spans="1:16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  <c r="P198" s="4"/>
    </row>
    <row r="199" spans="1:16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  <c r="P199" s="4"/>
    </row>
    <row r="200" spans="1:16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  <c r="P200" s="4"/>
    </row>
    <row r="201" spans="1:16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  <c r="P201" s="4"/>
    </row>
    <row r="202" spans="1:16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  <c r="P202" s="4"/>
    </row>
    <row r="203" spans="1:16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  <c r="P203" s="4"/>
    </row>
    <row r="204" spans="1:16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  <c r="P204" s="4"/>
    </row>
    <row r="205" spans="1:16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  <c r="P205" s="4"/>
    </row>
    <row r="206" spans="1:16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  <c r="P206" s="4"/>
    </row>
    <row r="207" spans="1:16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  <c r="P207" s="4"/>
    </row>
    <row r="208" spans="1:16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  <c r="P208" s="4"/>
    </row>
    <row r="209" spans="1:16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  <c r="P209" s="4"/>
    </row>
    <row r="210" spans="1:16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  <c r="P210" s="4"/>
    </row>
    <row r="211" spans="1:16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  <c r="P211" s="4"/>
    </row>
    <row r="212" spans="1:16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  <c r="P212" s="4"/>
    </row>
    <row r="213" spans="1:16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  <c r="P213" s="4"/>
    </row>
    <row r="214" spans="1:16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  <c r="P214" s="4"/>
    </row>
    <row r="215" spans="1:16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  <c r="P215" s="4"/>
    </row>
    <row r="216" spans="1:16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  <c r="P216" s="4"/>
    </row>
    <row r="217" spans="1:16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  <c r="P217" s="4"/>
    </row>
    <row r="218" spans="1:16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  <c r="P218" s="4"/>
    </row>
    <row r="219" spans="1:16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  <c r="P219" s="4"/>
    </row>
    <row r="220" spans="1:16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  <c r="P220" s="4"/>
    </row>
    <row r="221" spans="1:16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  <c r="P221" s="4"/>
    </row>
    <row r="222" spans="1:16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  <c r="P222" s="4"/>
    </row>
    <row r="223" spans="1:16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  <c r="P223" s="4"/>
    </row>
    <row r="224" spans="1:16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  <c r="P224" s="4"/>
    </row>
    <row r="225" spans="1:16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  <c r="P225" s="4"/>
    </row>
    <row r="226" spans="1:16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  <c r="P226" s="4"/>
    </row>
    <row r="227" spans="1:16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  <c r="P227" s="4"/>
    </row>
    <row r="228" spans="1:16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  <c r="P228" s="4"/>
    </row>
    <row r="229" spans="1:16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  <c r="P229" s="4"/>
    </row>
    <row r="230" spans="1:16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  <c r="P230" s="4"/>
    </row>
    <row r="231" spans="1:16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  <c r="P231" s="4"/>
    </row>
    <row r="232" spans="1:16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  <c r="P232" s="4"/>
    </row>
    <row r="233" spans="1:16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  <c r="P233" s="4"/>
    </row>
    <row r="234" spans="1:16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  <c r="P234" s="4"/>
    </row>
    <row r="235" spans="1:16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  <c r="P235" s="4"/>
    </row>
    <row r="236" spans="1:16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  <c r="P236" s="4"/>
    </row>
    <row r="237" spans="1:16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  <c r="P237" s="4"/>
    </row>
    <row r="238" spans="1:16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  <c r="P238" s="4"/>
    </row>
    <row r="239" spans="1:16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  <c r="P239" s="4"/>
    </row>
    <row r="240" spans="1:16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  <c r="P240" s="4"/>
    </row>
    <row r="241" spans="1:16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  <c r="P241" s="4"/>
    </row>
    <row r="242" spans="1:16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  <c r="P242" s="4"/>
    </row>
    <row r="243" spans="1:16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  <c r="P243" s="4"/>
    </row>
    <row r="244" spans="1:16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  <c r="P244" s="4"/>
    </row>
    <row r="245" spans="1:16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  <c r="P245" s="4"/>
    </row>
    <row r="246" spans="1:16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  <c r="P246" s="4"/>
    </row>
    <row r="247" spans="1:16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  <c r="P247" s="4"/>
    </row>
    <row r="248" spans="1:16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  <c r="P248" s="4"/>
    </row>
    <row r="249" spans="1:16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  <c r="P249" s="4"/>
    </row>
    <row r="250" spans="1:16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  <c r="P250" s="4"/>
    </row>
    <row r="251" spans="1:16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  <c r="P251" s="4"/>
    </row>
    <row r="252" spans="1:16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  <c r="P252" s="4"/>
    </row>
    <row r="253" spans="1:16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  <c r="P253" s="4"/>
    </row>
    <row r="254" spans="1:16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  <c r="P254" s="4"/>
    </row>
    <row r="255" spans="1:16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  <c r="P255" s="4"/>
    </row>
    <row r="256" spans="1:16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  <c r="P256" s="4"/>
    </row>
    <row r="257" spans="1:16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  <c r="P257" s="4"/>
    </row>
    <row r="258" spans="1:16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  <c r="P258" s="4"/>
    </row>
    <row r="259" spans="1:16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  <c r="P259" s="4"/>
    </row>
    <row r="260" spans="1:16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  <c r="P260" s="4"/>
    </row>
    <row r="261" spans="1:16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  <c r="P261" s="4"/>
    </row>
    <row r="262" spans="1:16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  <c r="P262" s="4"/>
    </row>
    <row r="263" spans="1:16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  <c r="P263" s="4"/>
    </row>
    <row r="264" spans="1:16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  <c r="P264" s="4"/>
    </row>
    <row r="265" spans="1:16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  <c r="P265" s="4"/>
    </row>
    <row r="266" spans="1:16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  <c r="P266" s="4"/>
    </row>
    <row r="267" spans="1:16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  <c r="P267" s="4"/>
    </row>
    <row r="268" spans="1:16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  <c r="P268" s="4"/>
    </row>
    <row r="269" spans="1:16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  <c r="P269" s="4"/>
    </row>
    <row r="270" spans="1:16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  <c r="P270" s="4"/>
    </row>
    <row r="271" spans="1:16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  <c r="P271" s="4"/>
    </row>
    <row r="272" spans="1:16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  <c r="P272" s="4"/>
    </row>
    <row r="273" spans="1:16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  <c r="P273" s="4"/>
    </row>
    <row r="274" spans="1:16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  <c r="P274" s="4"/>
    </row>
    <row r="275" spans="1:16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  <c r="P275" s="4"/>
    </row>
    <row r="276" spans="1:16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  <c r="P276" s="4"/>
    </row>
    <row r="277" spans="1:16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  <c r="P277" s="4"/>
    </row>
    <row r="278" spans="1:16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  <c r="P278" s="4"/>
    </row>
    <row r="279" spans="1:16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  <c r="P279" s="4"/>
    </row>
    <row r="280" spans="1:16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  <c r="P280" s="4"/>
    </row>
    <row r="281" spans="1:16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  <c r="P281" s="4"/>
    </row>
    <row r="282" spans="1:16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  <c r="P282" s="4"/>
    </row>
    <row r="283" spans="1:16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  <c r="P283" s="4"/>
    </row>
    <row r="284" spans="1:16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  <c r="P284" s="4"/>
    </row>
    <row r="285" spans="1:16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  <c r="P285" s="4"/>
    </row>
    <row r="286" spans="1:16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  <c r="P286" s="4"/>
    </row>
    <row r="287" spans="1:16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  <c r="P287" s="4"/>
    </row>
    <row r="288" spans="1:16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  <c r="P288" s="4"/>
    </row>
    <row r="289" spans="1:16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  <c r="P289" s="4"/>
    </row>
    <row r="290" spans="1:16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  <c r="P290" s="4"/>
    </row>
    <row r="291" spans="1:16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  <c r="P291" s="4"/>
    </row>
    <row r="292" spans="1:16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  <c r="P292" s="4"/>
    </row>
    <row r="293" spans="1:16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  <c r="P293" s="4"/>
    </row>
    <row r="294" spans="1:16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  <c r="P294" s="4"/>
    </row>
    <row r="295" spans="1:16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  <c r="P295" s="4"/>
    </row>
    <row r="296" spans="1:16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  <c r="P296" s="4"/>
    </row>
    <row r="297" spans="1:16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  <c r="P297" s="4"/>
    </row>
    <row r="298" spans="1:16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  <c r="P298" s="4"/>
    </row>
    <row r="299" spans="1:16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  <c r="P299" s="4"/>
    </row>
    <row r="300" spans="1:16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  <c r="P300" s="4"/>
    </row>
    <row r="301" spans="1:16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  <c r="P301" s="4"/>
    </row>
    <row r="302" spans="1:16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  <c r="P302" s="4"/>
    </row>
    <row r="303" spans="1:16" x14ac:dyDescent="0.3">
      <c r="P303" s="4"/>
    </row>
  </sheetData>
  <mergeCells count="52">
    <mergeCell ref="N67:P67"/>
    <mergeCell ref="Q67:R67"/>
    <mergeCell ref="N68:R68"/>
    <mergeCell ref="G68:K68"/>
    <mergeCell ref="G67:I67"/>
    <mergeCell ref="J67:K67"/>
    <mergeCell ref="N64:P64"/>
    <mergeCell ref="Q64:R64"/>
    <mergeCell ref="Q66:R66"/>
    <mergeCell ref="N65:P65"/>
    <mergeCell ref="Q65:R65"/>
    <mergeCell ref="N66:P66"/>
    <mergeCell ref="G65:I65"/>
    <mergeCell ref="J65:K65"/>
    <mergeCell ref="G66:I66"/>
    <mergeCell ref="J66:K66"/>
    <mergeCell ref="G64:I64"/>
    <mergeCell ref="J64:K64"/>
    <mergeCell ref="Q24:R24"/>
    <mergeCell ref="N25:P25"/>
    <mergeCell ref="Q25:R25"/>
    <mergeCell ref="N26:P26"/>
    <mergeCell ref="Q26:R26"/>
    <mergeCell ref="G27:K27"/>
    <mergeCell ref="N27:R27"/>
    <mergeCell ref="G62:I62"/>
    <mergeCell ref="J62:K62"/>
    <mergeCell ref="G63:I63"/>
    <mergeCell ref="J63:K63"/>
    <mergeCell ref="N62:P62"/>
    <mergeCell ref="Q62:R62"/>
    <mergeCell ref="N63:P63"/>
    <mergeCell ref="Q63:R63"/>
    <mergeCell ref="J23:K23"/>
    <mergeCell ref="J24:K24"/>
    <mergeCell ref="J25:K25"/>
    <mergeCell ref="J26:K26"/>
    <mergeCell ref="N21:P21"/>
    <mergeCell ref="J21:K21"/>
    <mergeCell ref="J22:K22"/>
    <mergeCell ref="N24:P24"/>
    <mergeCell ref="Q21:R21"/>
    <mergeCell ref="N22:P22"/>
    <mergeCell ref="Q22:R22"/>
    <mergeCell ref="N23:P23"/>
    <mergeCell ref="Q23:R23"/>
    <mergeCell ref="G21:I21"/>
    <mergeCell ref="G22:I22"/>
    <mergeCell ref="G23:I23"/>
    <mergeCell ref="G26:I26"/>
    <mergeCell ref="G25:I25"/>
    <mergeCell ref="G24:I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4864-8932-4897-B2DE-5B98F301451E}">
  <dimension ref="A1:S302"/>
  <sheetViews>
    <sheetView tabSelected="1" zoomScaleNormal="100" workbookViewId="0">
      <selection activeCell="K4" sqref="K4"/>
    </sheetView>
  </sheetViews>
  <sheetFormatPr defaultRowHeight="14.4" x14ac:dyDescent="0.3"/>
  <cols>
    <col min="1" max="1" width="5" bestFit="1" customWidth="1"/>
    <col min="2" max="2" width="15" customWidth="1"/>
    <col min="3" max="3" width="17.21875" bestFit="1" customWidth="1"/>
    <col min="4" max="4" width="12.21875" bestFit="1" customWidth="1"/>
    <col min="5" max="5" width="15" bestFit="1" customWidth="1"/>
    <col min="7" max="7" width="5" style="10" bestFit="1" customWidth="1"/>
    <col min="8" max="8" width="12.21875" style="10" bestFit="1" customWidth="1"/>
    <col min="10" max="10" width="24.44140625" bestFit="1" customWidth="1"/>
    <col min="11" max="11" width="12.6640625" bestFit="1" customWidth="1"/>
    <col min="12" max="12" width="15.44140625" bestFit="1" customWidth="1"/>
    <col min="19" max="19" width="25.109375" customWidth="1"/>
  </cols>
  <sheetData>
    <row r="1" spans="1:12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6" t="s">
        <v>4</v>
      </c>
      <c r="H1" s="6" t="s">
        <v>2</v>
      </c>
    </row>
    <row r="2" spans="1:12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6">
        <v>1808</v>
      </c>
      <c r="H2" s="6">
        <v>1830</v>
      </c>
    </row>
    <row r="3" spans="1:12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6">
        <v>2032</v>
      </c>
      <c r="H3" s="6">
        <v>47600</v>
      </c>
      <c r="J3" s="14" t="s">
        <v>67</v>
      </c>
    </row>
    <row r="4" spans="1:12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6">
        <v>1947</v>
      </c>
      <c r="H4" s="6">
        <v>3290</v>
      </c>
      <c r="J4" s="17"/>
      <c r="K4" s="19" t="s">
        <v>2</v>
      </c>
      <c r="L4" s="12"/>
    </row>
    <row r="5" spans="1:12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6">
        <v>1991</v>
      </c>
      <c r="H5" s="6">
        <v>36100</v>
      </c>
      <c r="J5" s="14" t="s">
        <v>41</v>
      </c>
      <c r="K5" s="23">
        <v>19220.5</v>
      </c>
    </row>
    <row r="6" spans="1:12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6">
        <v>1953</v>
      </c>
      <c r="H6" s="6">
        <v>5230</v>
      </c>
      <c r="J6" s="14" t="s">
        <v>6</v>
      </c>
      <c r="K6" s="23">
        <v>552776990.65656567</v>
      </c>
    </row>
    <row r="7" spans="1:12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6">
        <v>1933</v>
      </c>
      <c r="H7" s="6">
        <v>5260</v>
      </c>
      <c r="J7" s="14" t="s">
        <v>42</v>
      </c>
      <c r="K7" s="23">
        <v>100</v>
      </c>
    </row>
    <row r="8" spans="1:12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6">
        <v>1924</v>
      </c>
      <c r="H8" s="6">
        <v>4600</v>
      </c>
      <c r="J8" s="14" t="s">
        <v>68</v>
      </c>
      <c r="K8" s="23">
        <v>30000</v>
      </c>
    </row>
    <row r="9" spans="1:12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6">
        <v>1912</v>
      </c>
      <c r="H9" s="6">
        <v>3360</v>
      </c>
      <c r="J9" s="14" t="s">
        <v>44</v>
      </c>
      <c r="K9" s="14">
        <v>99</v>
      </c>
    </row>
    <row r="10" spans="1:12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6">
        <v>2028</v>
      </c>
      <c r="H10" s="6">
        <v>45500</v>
      </c>
      <c r="J10" s="14" t="s">
        <v>45</v>
      </c>
      <c r="K10" s="14">
        <v>-4.5848342338931252</v>
      </c>
    </row>
    <row r="11" spans="1:12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6">
        <v>1883</v>
      </c>
      <c r="H11" s="6">
        <v>2370</v>
      </c>
      <c r="J11" s="14" t="s">
        <v>46</v>
      </c>
      <c r="K11" s="14">
        <v>6.6485053801956794E-6</v>
      </c>
    </row>
    <row r="12" spans="1:12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6">
        <v>2010</v>
      </c>
      <c r="H12" s="6">
        <v>38100</v>
      </c>
      <c r="J12" s="14" t="s">
        <v>47</v>
      </c>
      <c r="K12" s="14">
        <v>1.6603911560169928</v>
      </c>
    </row>
    <row r="13" spans="1:12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6">
        <v>1941</v>
      </c>
      <c r="H13" s="6">
        <v>6900</v>
      </c>
      <c r="J13" s="14" t="s">
        <v>48</v>
      </c>
      <c r="K13" s="14">
        <v>1.3297010760391359E-5</v>
      </c>
    </row>
    <row r="14" spans="1:12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6">
        <v>1950</v>
      </c>
      <c r="H14" s="6">
        <v>4120</v>
      </c>
      <c r="J14" s="14" t="s">
        <v>49</v>
      </c>
      <c r="K14" s="14">
        <v>1.9842169515864165</v>
      </c>
    </row>
    <row r="15" spans="1:12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6">
        <v>1930</v>
      </c>
      <c r="H15" s="6">
        <v>4630</v>
      </c>
    </row>
    <row r="16" spans="1:12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6">
        <v>1862</v>
      </c>
      <c r="H16" s="6">
        <v>2110</v>
      </c>
    </row>
    <row r="17" spans="1:19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6">
        <v>2052</v>
      </c>
      <c r="H17" s="6">
        <v>58500</v>
      </c>
      <c r="J17" s="72" t="s">
        <v>52</v>
      </c>
      <c r="K17" s="73"/>
      <c r="L17" s="73"/>
      <c r="M17" s="73"/>
      <c r="N17" s="73"/>
      <c r="O17" s="73"/>
      <c r="P17" s="73"/>
      <c r="Q17" s="73"/>
      <c r="R17" s="73"/>
      <c r="S17" s="74"/>
    </row>
    <row r="18" spans="1:19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6">
        <v>1814</v>
      </c>
      <c r="H18" s="6">
        <v>1830</v>
      </c>
      <c r="J18" s="75" t="s">
        <v>53</v>
      </c>
      <c r="K18" s="76"/>
      <c r="L18" s="76"/>
      <c r="M18" s="76"/>
      <c r="N18" s="76"/>
      <c r="O18" s="76"/>
      <c r="P18" s="76"/>
      <c r="Q18" s="76"/>
      <c r="R18" s="76"/>
      <c r="S18" s="77"/>
    </row>
    <row r="19" spans="1:19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6">
        <v>2031</v>
      </c>
      <c r="H19" s="6">
        <v>46900</v>
      </c>
      <c r="J19" s="78" t="s">
        <v>50</v>
      </c>
      <c r="K19" s="79"/>
      <c r="L19" s="79"/>
      <c r="M19" s="79"/>
      <c r="N19" s="79"/>
      <c r="O19" s="79"/>
      <c r="P19" s="79"/>
      <c r="Q19" s="79"/>
      <c r="R19" s="79"/>
      <c r="S19" s="80"/>
    </row>
    <row r="20" spans="1:19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6">
        <v>1872</v>
      </c>
      <c r="H20" s="6">
        <v>2210</v>
      </c>
      <c r="J20" s="78" t="s">
        <v>56</v>
      </c>
      <c r="K20" s="79"/>
      <c r="L20" s="79"/>
      <c r="M20" s="79"/>
      <c r="N20" s="79"/>
      <c r="O20" s="79"/>
      <c r="P20" s="79"/>
      <c r="Q20" s="79"/>
      <c r="R20" s="79"/>
      <c r="S20" s="80"/>
    </row>
    <row r="21" spans="1:19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6">
        <v>1801</v>
      </c>
      <c r="H21" s="6">
        <v>1830</v>
      </c>
      <c r="J21" s="69" t="s">
        <v>51</v>
      </c>
      <c r="K21" s="70"/>
      <c r="L21" s="70"/>
      <c r="M21" s="70"/>
      <c r="N21" s="70"/>
      <c r="O21" s="70"/>
      <c r="P21" s="70"/>
      <c r="Q21" s="70"/>
      <c r="R21" s="70"/>
      <c r="S21" s="71"/>
    </row>
    <row r="22" spans="1:19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6">
        <v>2094</v>
      </c>
      <c r="H22" s="6">
        <v>72200</v>
      </c>
      <c r="J22" s="24" t="s">
        <v>58</v>
      </c>
      <c r="K22" s="25"/>
      <c r="L22" s="25"/>
      <c r="M22" s="25"/>
      <c r="N22" s="25"/>
      <c r="O22" s="25"/>
      <c r="P22" s="25"/>
      <c r="Q22" s="25"/>
      <c r="R22" s="25"/>
      <c r="S22" s="26"/>
    </row>
    <row r="23" spans="1:19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6">
        <v>2035</v>
      </c>
      <c r="H23" s="6">
        <v>49600</v>
      </c>
      <c r="J23" s="27" t="s">
        <v>59</v>
      </c>
      <c r="K23" s="18"/>
      <c r="L23" s="18"/>
      <c r="M23" s="18"/>
      <c r="N23" s="18"/>
      <c r="O23" s="18"/>
      <c r="P23" s="18"/>
      <c r="Q23" s="18"/>
      <c r="R23" s="18"/>
      <c r="S23" s="28"/>
    </row>
    <row r="24" spans="1:19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6">
        <v>1958</v>
      </c>
      <c r="H24" s="6">
        <v>6810</v>
      </c>
      <c r="J24" s="27" t="s">
        <v>60</v>
      </c>
      <c r="K24" s="18"/>
      <c r="L24" s="18"/>
      <c r="M24" s="18"/>
      <c r="N24" s="18"/>
      <c r="O24" s="18"/>
      <c r="P24" s="18"/>
      <c r="Q24" s="18"/>
      <c r="R24" s="18"/>
      <c r="S24" s="28"/>
    </row>
    <row r="25" spans="1:19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6">
        <v>1909</v>
      </c>
      <c r="H25" s="6">
        <v>3240</v>
      </c>
      <c r="J25" s="27"/>
      <c r="K25" s="18"/>
      <c r="L25" s="18"/>
      <c r="M25" s="18"/>
      <c r="N25" s="18"/>
      <c r="O25" s="18"/>
      <c r="P25" s="18"/>
      <c r="Q25" s="18"/>
      <c r="R25" s="18"/>
      <c r="S25" s="28"/>
    </row>
    <row r="26" spans="1:19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6">
        <v>1927</v>
      </c>
      <c r="H26" s="6">
        <v>4640</v>
      </c>
      <c r="J26" s="27"/>
      <c r="K26" s="18"/>
      <c r="L26" s="18"/>
      <c r="M26" s="18"/>
      <c r="N26" s="18"/>
      <c r="O26" s="18"/>
      <c r="P26" s="18"/>
      <c r="Q26" s="18"/>
      <c r="R26" s="18"/>
      <c r="S26" s="28"/>
    </row>
    <row r="27" spans="1:19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6">
        <v>2088</v>
      </c>
      <c r="H27" s="6">
        <v>70000</v>
      </c>
      <c r="J27" s="29" t="s">
        <v>62</v>
      </c>
      <c r="K27" s="30"/>
      <c r="L27" s="30"/>
      <c r="M27" s="30"/>
      <c r="N27" s="30"/>
      <c r="O27" s="30"/>
      <c r="P27" s="30"/>
      <c r="Q27" s="30"/>
      <c r="R27" s="30"/>
      <c r="S27" s="31"/>
    </row>
    <row r="28" spans="1:19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6">
        <v>1874</v>
      </c>
      <c r="H28" s="6">
        <v>2230</v>
      </c>
      <c r="J28" s="81" t="s">
        <v>61</v>
      </c>
      <c r="K28" s="82"/>
      <c r="L28" s="83"/>
      <c r="M28" s="83"/>
      <c r="N28" s="83"/>
      <c r="O28" s="83"/>
      <c r="P28" s="83"/>
      <c r="Q28" s="83"/>
      <c r="R28" s="83"/>
      <c r="S28" s="84"/>
    </row>
    <row r="29" spans="1:19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6">
        <v>1993</v>
      </c>
      <c r="H29" s="6">
        <v>35800</v>
      </c>
      <c r="J29" s="32" t="s">
        <v>54</v>
      </c>
      <c r="K29" s="33">
        <f>K5-K14*SQRT(K6/K7)</f>
        <v>14555.365877699613</v>
      </c>
      <c r="L29" s="24"/>
      <c r="M29" s="25"/>
      <c r="N29" s="25"/>
      <c r="O29" s="25"/>
      <c r="P29" s="25"/>
      <c r="Q29" s="25"/>
      <c r="R29" s="25"/>
      <c r="S29" s="26"/>
    </row>
    <row r="30" spans="1:19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6">
        <v>1954</v>
      </c>
      <c r="H30" s="6">
        <v>5430</v>
      </c>
      <c r="J30" s="32" t="s">
        <v>55</v>
      </c>
      <c r="K30" s="33">
        <f>K5+K14*SQRT(K6/K7)</f>
        <v>23885.634122300387</v>
      </c>
      <c r="L30" s="29"/>
      <c r="M30" s="30"/>
      <c r="N30" s="30"/>
      <c r="O30" s="30"/>
      <c r="P30" s="30"/>
      <c r="Q30" s="30"/>
      <c r="R30" s="30"/>
      <c r="S30" s="31"/>
    </row>
    <row r="31" spans="1:19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6">
        <v>1994</v>
      </c>
      <c r="H31" s="6">
        <v>36000</v>
      </c>
      <c r="J31" s="65" t="s">
        <v>57</v>
      </c>
      <c r="K31" s="66"/>
      <c r="L31" s="67"/>
      <c r="M31" s="67"/>
      <c r="N31" s="67"/>
      <c r="O31" s="67"/>
      <c r="P31" s="67"/>
      <c r="Q31" s="67"/>
      <c r="R31" s="67"/>
      <c r="S31" s="68"/>
    </row>
    <row r="32" spans="1:19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6">
        <v>2086</v>
      </c>
      <c r="H32" s="6">
        <v>69400</v>
      </c>
    </row>
    <row r="33" spans="1:8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6">
        <v>1873</v>
      </c>
      <c r="H33" s="6">
        <v>2220</v>
      </c>
    </row>
    <row r="34" spans="1:8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6">
        <v>2050</v>
      </c>
      <c r="H34" s="6">
        <v>57700</v>
      </c>
    </row>
    <row r="35" spans="1:8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6">
        <v>1928</v>
      </c>
      <c r="H35" s="6">
        <v>4930</v>
      </c>
    </row>
    <row r="36" spans="1:8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6">
        <v>1809</v>
      </c>
      <c r="H36" s="6">
        <v>1830</v>
      </c>
    </row>
    <row r="37" spans="1:8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6">
        <v>1926</v>
      </c>
      <c r="H37" s="6">
        <v>4660</v>
      </c>
    </row>
    <row r="38" spans="1:8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6">
        <v>1956</v>
      </c>
      <c r="H38" s="6">
        <v>6140</v>
      </c>
    </row>
    <row r="39" spans="1:8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6">
        <v>2026</v>
      </c>
      <c r="H39" s="6">
        <v>44300</v>
      </c>
    </row>
    <row r="40" spans="1:8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6">
        <v>2005</v>
      </c>
      <c r="H40" s="6">
        <v>38900</v>
      </c>
    </row>
    <row r="41" spans="1:8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6">
        <v>1940</v>
      </c>
      <c r="H41" s="6">
        <v>6780</v>
      </c>
    </row>
    <row r="42" spans="1:8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6">
        <v>1934</v>
      </c>
      <c r="H42" s="6">
        <v>5210</v>
      </c>
    </row>
    <row r="43" spans="1:8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6">
        <v>1834</v>
      </c>
      <c r="H43" s="6">
        <v>1910</v>
      </c>
    </row>
    <row r="44" spans="1:8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6">
        <v>2085</v>
      </c>
      <c r="H44" s="6">
        <v>69700</v>
      </c>
    </row>
    <row r="45" spans="1:8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6">
        <v>1939</v>
      </c>
      <c r="H45" s="6">
        <v>6670</v>
      </c>
    </row>
    <row r="46" spans="1:8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6">
        <v>1881</v>
      </c>
      <c r="H46" s="6">
        <v>2340</v>
      </c>
    </row>
    <row r="47" spans="1:8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6">
        <v>1957</v>
      </c>
      <c r="H47" s="6">
        <v>6510</v>
      </c>
    </row>
    <row r="48" spans="1:8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6">
        <v>1877</v>
      </c>
      <c r="H48" s="6">
        <v>2280</v>
      </c>
    </row>
    <row r="49" spans="1:8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6">
        <v>1923</v>
      </c>
      <c r="H49" s="6">
        <v>4500</v>
      </c>
    </row>
    <row r="50" spans="1:8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6">
        <v>1867</v>
      </c>
      <c r="H50" s="6">
        <v>2160</v>
      </c>
    </row>
    <row r="51" spans="1:8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6">
        <v>1816</v>
      </c>
      <c r="H51" s="6">
        <v>1830</v>
      </c>
    </row>
    <row r="52" spans="1:8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6">
        <v>2017</v>
      </c>
      <c r="H52" s="6">
        <v>41400</v>
      </c>
    </row>
    <row r="53" spans="1:8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6">
        <v>2070</v>
      </c>
      <c r="H53" s="6">
        <v>63600</v>
      </c>
    </row>
    <row r="54" spans="1:8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6">
        <v>1812</v>
      </c>
      <c r="H54" s="6">
        <v>1830</v>
      </c>
    </row>
    <row r="55" spans="1:8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6">
        <v>2011</v>
      </c>
      <c r="H55" s="6">
        <v>38100</v>
      </c>
    </row>
    <row r="56" spans="1:8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6">
        <v>1955</v>
      </c>
      <c r="H56" s="6">
        <v>5790</v>
      </c>
    </row>
    <row r="57" spans="1:8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6">
        <v>1833</v>
      </c>
      <c r="H57" s="6">
        <v>1910</v>
      </c>
    </row>
    <row r="58" spans="1:8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6">
        <v>1911</v>
      </c>
      <c r="H58" s="6">
        <v>3330</v>
      </c>
    </row>
    <row r="59" spans="1:8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6">
        <v>2044</v>
      </c>
      <c r="H59" s="6">
        <v>52000</v>
      </c>
    </row>
    <row r="60" spans="1:8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6">
        <v>1915</v>
      </c>
      <c r="H60" s="6">
        <v>3490</v>
      </c>
    </row>
    <row r="61" spans="1:8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6">
        <v>2087</v>
      </c>
      <c r="H61" s="6">
        <v>69400</v>
      </c>
    </row>
    <row r="62" spans="1:8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6">
        <v>1830</v>
      </c>
      <c r="H62" s="6">
        <v>1890</v>
      </c>
    </row>
    <row r="63" spans="1:8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6">
        <v>1821</v>
      </c>
      <c r="H63" s="6">
        <v>1830</v>
      </c>
    </row>
    <row r="64" spans="1:8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6">
        <v>1893</v>
      </c>
      <c r="H64" s="6">
        <v>2540</v>
      </c>
    </row>
    <row r="65" spans="1:8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6">
        <v>1817</v>
      </c>
      <c r="H65" s="6">
        <v>1830</v>
      </c>
    </row>
    <row r="66" spans="1:8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6">
        <v>1932</v>
      </c>
      <c r="H66" s="6">
        <v>4900</v>
      </c>
    </row>
    <row r="67" spans="1:8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6">
        <v>1961</v>
      </c>
      <c r="H67" s="6">
        <v>9060</v>
      </c>
    </row>
    <row r="68" spans="1:8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6">
        <v>1819</v>
      </c>
      <c r="H68" s="6">
        <v>1830</v>
      </c>
    </row>
    <row r="69" spans="1:8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6">
        <v>1952</v>
      </c>
      <c r="H69" s="6">
        <v>4960</v>
      </c>
    </row>
    <row r="70" spans="1:8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6">
        <v>2071</v>
      </c>
      <c r="H70" s="6">
        <v>63300</v>
      </c>
    </row>
    <row r="71" spans="1:8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6">
        <v>1972</v>
      </c>
      <c r="H71" s="6">
        <v>20800</v>
      </c>
    </row>
    <row r="72" spans="1:8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6">
        <v>1913</v>
      </c>
      <c r="H72" s="6">
        <v>3370</v>
      </c>
    </row>
    <row r="73" spans="1:8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6">
        <v>2021</v>
      </c>
      <c r="H73" s="6">
        <v>40800</v>
      </c>
    </row>
    <row r="74" spans="1:8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6">
        <v>1882</v>
      </c>
      <c r="H74" s="6">
        <v>2350</v>
      </c>
    </row>
    <row r="75" spans="1:8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6">
        <v>2038</v>
      </c>
      <c r="H75" s="6">
        <v>51300</v>
      </c>
    </row>
    <row r="76" spans="1:8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6">
        <v>1807</v>
      </c>
      <c r="H76" s="6">
        <v>1830</v>
      </c>
    </row>
    <row r="77" spans="1:8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6">
        <v>2091</v>
      </c>
      <c r="H77" s="6">
        <v>71100</v>
      </c>
    </row>
    <row r="78" spans="1:8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6">
        <v>1949</v>
      </c>
      <c r="H78" s="6">
        <v>3870</v>
      </c>
    </row>
    <row r="79" spans="1:8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6">
        <v>2073</v>
      </c>
      <c r="H79" s="6">
        <v>62200</v>
      </c>
    </row>
    <row r="80" spans="1:8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6">
        <v>2037</v>
      </c>
      <c r="H80" s="6">
        <v>50600</v>
      </c>
    </row>
    <row r="81" spans="1:8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6">
        <v>1908</v>
      </c>
      <c r="H81" s="6">
        <v>3270</v>
      </c>
    </row>
    <row r="82" spans="1:8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6">
        <v>1806</v>
      </c>
      <c r="H82" s="6">
        <v>1830</v>
      </c>
    </row>
    <row r="83" spans="1:8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6">
        <v>1937</v>
      </c>
      <c r="H83" s="6">
        <v>5660</v>
      </c>
    </row>
    <row r="84" spans="1:8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6">
        <v>1886</v>
      </c>
      <c r="H84" s="6">
        <v>2540</v>
      </c>
    </row>
    <row r="85" spans="1:8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6">
        <v>1997</v>
      </c>
      <c r="H85" s="6">
        <v>37800</v>
      </c>
    </row>
    <row r="86" spans="1:8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6">
        <v>1823</v>
      </c>
      <c r="H86" s="6">
        <v>1850</v>
      </c>
    </row>
    <row r="87" spans="1:8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6">
        <v>1828</v>
      </c>
      <c r="H87" s="6">
        <v>1880</v>
      </c>
    </row>
    <row r="88" spans="1:8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6">
        <v>1811</v>
      </c>
      <c r="H88" s="6">
        <v>1830</v>
      </c>
    </row>
    <row r="89" spans="1:8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6">
        <v>1980</v>
      </c>
      <c r="H89" s="6">
        <v>25200</v>
      </c>
    </row>
    <row r="90" spans="1:8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6">
        <v>2014</v>
      </c>
      <c r="H90" s="6">
        <v>39700</v>
      </c>
    </row>
    <row r="91" spans="1:8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6">
        <v>1837</v>
      </c>
      <c r="H91" s="6">
        <v>1930</v>
      </c>
    </row>
    <row r="92" spans="1:8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6">
        <v>1871</v>
      </c>
      <c r="H92" s="6">
        <v>2200</v>
      </c>
    </row>
    <row r="93" spans="1:8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6">
        <v>1900</v>
      </c>
      <c r="H93" s="6">
        <v>2950</v>
      </c>
    </row>
    <row r="94" spans="1:8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6">
        <v>2054</v>
      </c>
      <c r="H94" s="6">
        <v>59400</v>
      </c>
    </row>
    <row r="95" spans="1:8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6">
        <v>1906</v>
      </c>
      <c r="H95" s="6">
        <v>3230</v>
      </c>
    </row>
    <row r="96" spans="1:8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6">
        <v>1904</v>
      </c>
      <c r="H96" s="6">
        <v>3020</v>
      </c>
    </row>
    <row r="97" spans="1:8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6">
        <v>2001</v>
      </c>
      <c r="H97" s="6">
        <v>37500</v>
      </c>
    </row>
    <row r="98" spans="1:8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6">
        <v>2042</v>
      </c>
      <c r="H98" s="6">
        <v>53000</v>
      </c>
    </row>
    <row r="99" spans="1:8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6">
        <v>1832</v>
      </c>
      <c r="H99" s="6">
        <v>1900</v>
      </c>
    </row>
    <row r="100" spans="1:8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6">
        <v>1920</v>
      </c>
      <c r="H100" s="6">
        <v>4130</v>
      </c>
    </row>
    <row r="101" spans="1:8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6">
        <v>1802</v>
      </c>
      <c r="H101" s="6">
        <v>1830</v>
      </c>
    </row>
    <row r="102" spans="1:8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8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8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8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8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8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8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8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8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8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8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mergeCells count="7">
    <mergeCell ref="J31:S31"/>
    <mergeCell ref="J21:S21"/>
    <mergeCell ref="J17:S17"/>
    <mergeCell ref="J18:S18"/>
    <mergeCell ref="J19:S19"/>
    <mergeCell ref="J20:S20"/>
    <mergeCell ref="J28:S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D317-A1F4-4762-8B6D-D75BD591394B}">
  <dimension ref="A1:U302"/>
  <sheetViews>
    <sheetView workbookViewId="0">
      <selection activeCell="O25" sqref="O25"/>
    </sheetView>
  </sheetViews>
  <sheetFormatPr defaultRowHeight="14.4" x14ac:dyDescent="0.3"/>
  <cols>
    <col min="1" max="1" width="5" bestFit="1" customWidth="1"/>
    <col min="2" max="2" width="14.44140625" bestFit="1" customWidth="1"/>
    <col min="3" max="3" width="17.21875" bestFit="1" customWidth="1"/>
    <col min="4" max="4" width="12.21875" bestFit="1" customWidth="1"/>
    <col min="5" max="5" width="15" bestFit="1" customWidth="1"/>
    <col min="7" max="7" width="5" bestFit="1" customWidth="1"/>
    <col min="8" max="8" width="12.21875" bestFit="1" customWidth="1"/>
    <col min="10" max="10" width="23" bestFit="1" customWidth="1"/>
  </cols>
  <sheetData>
    <row r="1" spans="1:2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10"/>
      <c r="H1" s="60" t="s">
        <v>2</v>
      </c>
      <c r="J1" s="85" t="s">
        <v>148</v>
      </c>
      <c r="K1" s="86"/>
      <c r="L1" s="86"/>
      <c r="M1" s="86"/>
      <c r="N1" s="86"/>
      <c r="O1" s="86"/>
      <c r="P1" s="86"/>
      <c r="Q1" s="86"/>
      <c r="R1" s="86"/>
    </row>
    <row r="2" spans="1:21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H2" s="61">
        <v>35800</v>
      </c>
    </row>
    <row r="3" spans="1:21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H3" s="61">
        <v>72200</v>
      </c>
      <c r="J3" s="87" t="s">
        <v>149</v>
      </c>
      <c r="K3" s="88"/>
      <c r="L3" s="88"/>
      <c r="M3" s="88"/>
      <c r="N3" s="88"/>
      <c r="O3" s="88"/>
      <c r="P3" s="88"/>
      <c r="Q3" s="88"/>
      <c r="R3" s="88"/>
      <c r="S3" s="89"/>
      <c r="T3" s="62"/>
      <c r="U3" s="62"/>
    </row>
    <row r="4" spans="1:21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H4" s="61">
        <v>1990</v>
      </c>
      <c r="J4" s="90" t="s">
        <v>150</v>
      </c>
      <c r="K4" s="91"/>
      <c r="L4" s="91"/>
      <c r="M4" s="91"/>
      <c r="N4" s="91"/>
      <c r="O4" s="91"/>
      <c r="P4" s="91"/>
      <c r="Q4" s="91"/>
      <c r="R4" s="91"/>
      <c r="S4" s="92"/>
      <c r="T4" s="62"/>
      <c r="U4" s="62"/>
    </row>
    <row r="5" spans="1:21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H5" s="61">
        <v>2920</v>
      </c>
      <c r="J5" s="93" t="s">
        <v>151</v>
      </c>
      <c r="K5" s="94"/>
      <c r="L5" s="94"/>
      <c r="M5" s="94"/>
      <c r="N5" s="94"/>
      <c r="O5" s="94"/>
      <c r="P5" s="94"/>
      <c r="Q5" s="94"/>
      <c r="R5" s="94"/>
      <c r="S5" s="95"/>
      <c r="T5" s="63"/>
      <c r="U5" s="63"/>
    </row>
    <row r="6" spans="1:21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H6" s="61">
        <v>62900</v>
      </c>
    </row>
    <row r="7" spans="1:21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H7" s="61">
        <v>1960</v>
      </c>
      <c r="J7" s="46" t="s">
        <v>152</v>
      </c>
    </row>
    <row r="8" spans="1:21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H8" s="61">
        <v>25200</v>
      </c>
      <c r="J8" s="46" t="s">
        <v>162</v>
      </c>
    </row>
    <row r="9" spans="1:21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H9" s="61">
        <v>1960</v>
      </c>
    </row>
    <row r="10" spans="1:21" ht="15" thickBot="1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H10" s="61">
        <v>1880</v>
      </c>
    </row>
    <row r="11" spans="1:21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H11" s="61">
        <v>27800</v>
      </c>
      <c r="J11" s="47" t="s">
        <v>153</v>
      </c>
      <c r="K11" s="52"/>
      <c r="L11" s="53"/>
      <c r="M11" s="52"/>
      <c r="N11" s="53"/>
      <c r="O11" s="54"/>
    </row>
    <row r="12" spans="1:21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H12" s="61">
        <v>1990</v>
      </c>
      <c r="J12" s="48" t="s">
        <v>154</v>
      </c>
      <c r="K12" s="46"/>
      <c r="L12" s="46"/>
      <c r="M12" s="46"/>
      <c r="O12" s="55"/>
    </row>
    <row r="13" spans="1:21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H13" s="61">
        <v>38900</v>
      </c>
      <c r="J13" s="49" t="s">
        <v>155</v>
      </c>
      <c r="L13" s="46"/>
      <c r="M13" s="46"/>
      <c r="O13" s="55">
        <f>COUNTIF(H2:H101,"&lt;=30000")</f>
        <v>56</v>
      </c>
    </row>
    <row r="14" spans="1:21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H14" s="61">
        <v>69400</v>
      </c>
      <c r="J14" s="49"/>
      <c r="K14" s="46"/>
      <c r="L14" s="46"/>
      <c r="M14" s="46"/>
      <c r="O14" s="55"/>
    </row>
    <row r="15" spans="1:21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H15" s="61">
        <v>39700</v>
      </c>
      <c r="J15" s="49" t="s">
        <v>156</v>
      </c>
      <c r="L15" s="46"/>
      <c r="M15" s="46"/>
      <c r="O15" s="55">
        <v>100</v>
      </c>
    </row>
    <row r="16" spans="1:21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H16" s="61">
        <v>65400.000000000007</v>
      </c>
      <c r="J16" s="49" t="s">
        <v>157</v>
      </c>
      <c r="L16" s="46"/>
      <c r="M16" s="46"/>
      <c r="O16" s="55">
        <f>O13/O15</f>
        <v>0.56000000000000005</v>
      </c>
    </row>
    <row r="17" spans="1:1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H17" s="61">
        <v>71100</v>
      </c>
      <c r="J17" s="49" t="s">
        <v>158</v>
      </c>
      <c r="L17" s="46"/>
      <c r="M17" s="46"/>
      <c r="O17" s="55">
        <v>1.96</v>
      </c>
    </row>
    <row r="18" spans="1:1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H18" s="61">
        <v>5090</v>
      </c>
      <c r="J18" s="49"/>
      <c r="K18" s="46"/>
      <c r="L18" s="46"/>
      <c r="M18" s="46"/>
      <c r="O18" s="55"/>
    </row>
    <row r="19" spans="1:1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H19" s="61">
        <v>61700</v>
      </c>
      <c r="J19" s="49" t="s">
        <v>159</v>
      </c>
      <c r="L19" s="46"/>
      <c r="O19" s="55">
        <f>(O16-0.4)/SQRT(0.4*(1-0.4)/O15)</f>
        <v>3.265986323710905</v>
      </c>
    </row>
    <row r="20" spans="1:1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H20" s="61">
        <v>5910</v>
      </c>
      <c r="J20" s="50"/>
      <c r="O20" s="56"/>
    </row>
    <row r="21" spans="1:1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H21" s="61">
        <v>4520</v>
      </c>
      <c r="J21" s="50"/>
      <c r="O21" s="56"/>
    </row>
    <row r="22" spans="1:1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H22" s="61">
        <v>1900</v>
      </c>
      <c r="J22" s="50"/>
      <c r="O22" s="56"/>
    </row>
    <row r="23" spans="1:1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H23" s="61">
        <v>14300</v>
      </c>
      <c r="J23" s="50"/>
      <c r="O23" s="56"/>
    </row>
    <row r="24" spans="1:1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H24" s="61">
        <v>54200</v>
      </c>
      <c r="J24" s="50"/>
      <c r="O24" s="56"/>
    </row>
    <row r="25" spans="1:1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H25" s="61">
        <v>41600</v>
      </c>
      <c r="J25" s="49" t="s">
        <v>54</v>
      </c>
      <c r="L25" s="46"/>
      <c r="M25" s="46"/>
      <c r="O25" s="55">
        <v>0.46</v>
      </c>
    </row>
    <row r="26" spans="1:15" ht="15" thickBot="1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H26" s="61">
        <v>53000</v>
      </c>
      <c r="J26" s="51" t="s">
        <v>55</v>
      </c>
      <c r="K26" s="8"/>
      <c r="L26" s="57"/>
      <c r="M26" s="57"/>
      <c r="N26" s="8"/>
      <c r="O26" s="58">
        <v>0.66</v>
      </c>
    </row>
    <row r="27" spans="1:15" ht="15" thickBot="1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H27" s="61">
        <v>64099.999999999993</v>
      </c>
      <c r="J27" s="59" t="s">
        <v>160</v>
      </c>
      <c r="K27" s="57"/>
      <c r="L27" s="57"/>
      <c r="M27" s="57"/>
      <c r="N27" s="57"/>
      <c r="O27" s="58"/>
    </row>
    <row r="28" spans="1:1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H28" s="61">
        <v>37800</v>
      </c>
    </row>
    <row r="29" spans="1:1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H29" s="61">
        <v>1870</v>
      </c>
      <c r="M29" s="46" t="s">
        <v>161</v>
      </c>
      <c r="N29" s="46"/>
      <c r="O29" s="46"/>
    </row>
    <row r="30" spans="1:1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H30" s="61">
        <v>2200</v>
      </c>
    </row>
    <row r="31" spans="1:1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H31" s="61">
        <v>40700</v>
      </c>
    </row>
    <row r="32" spans="1:1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H32" s="61">
        <v>2280</v>
      </c>
    </row>
    <row r="33" spans="1:8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H33" s="61">
        <v>22300</v>
      </c>
    </row>
    <row r="34" spans="1:8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H34" s="61">
        <v>1960</v>
      </c>
    </row>
    <row r="35" spans="1:8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H35" s="61">
        <v>2810</v>
      </c>
    </row>
    <row r="36" spans="1:8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H36" s="61">
        <v>4960</v>
      </c>
    </row>
    <row r="37" spans="1:8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H37" s="61">
        <v>2800</v>
      </c>
    </row>
    <row r="38" spans="1:8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H38" s="61">
        <v>51600</v>
      </c>
    </row>
    <row r="39" spans="1:8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H39" s="61">
        <v>1870</v>
      </c>
    </row>
    <row r="40" spans="1:8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H40" s="61">
        <v>59700</v>
      </c>
    </row>
    <row r="41" spans="1:8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H41" s="61">
        <v>32400</v>
      </c>
    </row>
    <row r="42" spans="1:8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H42" s="61">
        <v>8200</v>
      </c>
    </row>
    <row r="43" spans="1:8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H43" s="61">
        <v>52000</v>
      </c>
    </row>
    <row r="44" spans="1:8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H44" s="61">
        <v>4930</v>
      </c>
    </row>
    <row r="45" spans="1:8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H45" s="61">
        <v>67500</v>
      </c>
    </row>
    <row r="46" spans="1:8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H46" s="61">
        <v>50000</v>
      </c>
    </row>
    <row r="47" spans="1:8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H47" s="61">
        <v>36700</v>
      </c>
    </row>
    <row r="48" spans="1:8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H48" s="61">
        <v>2540</v>
      </c>
    </row>
    <row r="49" spans="1:8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H49" s="61">
        <v>1950</v>
      </c>
    </row>
    <row r="50" spans="1:8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H50" s="61">
        <v>68300</v>
      </c>
    </row>
    <row r="51" spans="1:8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H51" s="61">
        <v>72200</v>
      </c>
    </row>
    <row r="52" spans="1:8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H52" s="61">
        <v>1830</v>
      </c>
    </row>
    <row r="53" spans="1:8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H53" s="61">
        <v>3220</v>
      </c>
    </row>
    <row r="54" spans="1:8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H54" s="61">
        <v>5910</v>
      </c>
    </row>
    <row r="55" spans="1:8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H55" s="61">
        <v>70600</v>
      </c>
    </row>
    <row r="56" spans="1:8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H56" s="61">
        <v>1830</v>
      </c>
    </row>
    <row r="57" spans="1:8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H57" s="61">
        <v>1830</v>
      </c>
    </row>
    <row r="58" spans="1:8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H58" s="61">
        <v>2250</v>
      </c>
    </row>
    <row r="59" spans="1:8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H59" s="61">
        <v>30600</v>
      </c>
    </row>
    <row r="60" spans="1:8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H60" s="61">
        <v>1830</v>
      </c>
    </row>
    <row r="61" spans="1:8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H61" s="61">
        <v>1870</v>
      </c>
    </row>
    <row r="62" spans="1:8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H62" s="61">
        <v>38700</v>
      </c>
    </row>
    <row r="63" spans="1:8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H63" s="61">
        <v>2340</v>
      </c>
    </row>
    <row r="64" spans="1:8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H64" s="61">
        <v>1890</v>
      </c>
    </row>
    <row r="65" spans="1:8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H65" s="61">
        <v>45500</v>
      </c>
    </row>
    <row r="66" spans="1:8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H66" s="61">
        <v>2030</v>
      </c>
    </row>
    <row r="67" spans="1:8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H67" s="61">
        <v>5260</v>
      </c>
    </row>
    <row r="68" spans="1:8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H68" s="61">
        <v>3020</v>
      </c>
    </row>
    <row r="69" spans="1:8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H69" s="61">
        <v>36200</v>
      </c>
    </row>
    <row r="70" spans="1:8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H70" s="61">
        <v>2160</v>
      </c>
    </row>
    <row r="71" spans="1:8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H71" s="61">
        <v>3220</v>
      </c>
    </row>
    <row r="72" spans="1:8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H72" s="61">
        <v>2540</v>
      </c>
    </row>
    <row r="73" spans="1:8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H73" s="61">
        <v>1880</v>
      </c>
    </row>
    <row r="74" spans="1:8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H74" s="61">
        <v>2930</v>
      </c>
    </row>
    <row r="75" spans="1:8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H75" s="61">
        <v>4080</v>
      </c>
    </row>
    <row r="76" spans="1:8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H76" s="61">
        <v>4120</v>
      </c>
    </row>
    <row r="77" spans="1:8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H77" s="61">
        <v>71800</v>
      </c>
    </row>
    <row r="78" spans="1:8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H78" s="61">
        <v>39900</v>
      </c>
    </row>
    <row r="79" spans="1:8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H79" s="61">
        <v>74700</v>
      </c>
    </row>
    <row r="80" spans="1:8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H80" s="61">
        <v>46300</v>
      </c>
    </row>
    <row r="81" spans="1:8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H81" s="61">
        <v>3490</v>
      </c>
    </row>
    <row r="82" spans="1:8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H82" s="61">
        <v>2640</v>
      </c>
    </row>
    <row r="83" spans="1:8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H83" s="61">
        <v>24800</v>
      </c>
    </row>
    <row r="84" spans="1:8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H84" s="61">
        <v>21500</v>
      </c>
    </row>
    <row r="85" spans="1:8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H85" s="61">
        <v>46900</v>
      </c>
    </row>
    <row r="86" spans="1:8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H86" s="61">
        <v>2120</v>
      </c>
    </row>
    <row r="87" spans="1:8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H87" s="61">
        <v>5910</v>
      </c>
    </row>
    <row r="88" spans="1:8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H88" s="61">
        <v>41700</v>
      </c>
    </row>
    <row r="89" spans="1:8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H89" s="61">
        <v>74700</v>
      </c>
    </row>
    <row r="90" spans="1:8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H90" s="61">
        <v>3360</v>
      </c>
    </row>
    <row r="91" spans="1:8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H91" s="61">
        <v>62900</v>
      </c>
    </row>
    <row r="92" spans="1:8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H92" s="61">
        <v>38900</v>
      </c>
    </row>
    <row r="93" spans="1:8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H93" s="61">
        <v>1860</v>
      </c>
    </row>
    <row r="94" spans="1:8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H94" s="61">
        <v>70600</v>
      </c>
    </row>
    <row r="95" spans="1:8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H95" s="61">
        <v>37600</v>
      </c>
    </row>
    <row r="96" spans="1:8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H96" s="61">
        <v>1830</v>
      </c>
    </row>
    <row r="97" spans="1:8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H97" s="61">
        <v>55400</v>
      </c>
    </row>
    <row r="98" spans="1:8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H98" s="61">
        <v>63300</v>
      </c>
    </row>
    <row r="99" spans="1:8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H99" s="61">
        <v>71800</v>
      </c>
    </row>
    <row r="100" spans="1:8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H100" s="61">
        <v>68300</v>
      </c>
    </row>
    <row r="101" spans="1:8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H101" s="61">
        <v>2320</v>
      </c>
    </row>
    <row r="102" spans="1:8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8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8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8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8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8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8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8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8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8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8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mergeCells count="4">
    <mergeCell ref="J1:R1"/>
    <mergeCell ref="J3:S3"/>
    <mergeCell ref="J4:S4"/>
    <mergeCell ref="J5:S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27DE-07F4-4BC3-A71F-45F050B47D93}">
  <dimension ref="A1:T302"/>
  <sheetViews>
    <sheetView topLeftCell="A28" zoomScaleNormal="100" workbookViewId="0">
      <selection activeCell="K46" sqref="K46:O46"/>
    </sheetView>
  </sheetViews>
  <sheetFormatPr defaultRowHeight="14.4" x14ac:dyDescent="0.3"/>
  <cols>
    <col min="1" max="1" width="5" bestFit="1" customWidth="1"/>
    <col min="2" max="2" width="14.44140625" bestFit="1" customWidth="1"/>
    <col min="3" max="3" width="17.21875" bestFit="1" customWidth="1"/>
    <col min="4" max="4" width="12.21875" bestFit="1" customWidth="1"/>
    <col min="5" max="5" width="15" bestFit="1" customWidth="1"/>
    <col min="7" max="7" width="5" style="10" bestFit="1" customWidth="1"/>
    <col min="8" max="8" width="12.21875" style="10" bestFit="1" customWidth="1"/>
    <col min="9" max="9" width="14.44140625" style="10" bestFit="1" customWidth="1"/>
    <col min="11" max="11" width="41.21875" bestFit="1" customWidth="1"/>
    <col min="12" max="12" width="12.6640625" bestFit="1" customWidth="1"/>
    <col min="13" max="13" width="15.21875" bestFit="1" customWidth="1"/>
    <col min="15" max="15" width="27.77734375" bestFit="1" customWidth="1"/>
    <col min="16" max="16" width="12" bestFit="1" customWidth="1"/>
    <col min="17" max="17" width="9.109375" customWidth="1"/>
    <col min="18" max="18" width="27.77734375" bestFit="1" customWidth="1"/>
    <col min="19" max="19" width="12" bestFit="1" customWidth="1"/>
  </cols>
  <sheetData>
    <row r="1" spans="1:20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6" t="s">
        <v>4</v>
      </c>
      <c r="H1" s="6" t="s">
        <v>2</v>
      </c>
      <c r="I1" s="6" t="s">
        <v>0</v>
      </c>
    </row>
    <row r="2" spans="1:20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6">
        <v>1808</v>
      </c>
      <c r="H2" s="6">
        <v>1830</v>
      </c>
      <c r="I2" s="6">
        <v>1170</v>
      </c>
      <c r="K2" s="97" t="s">
        <v>64</v>
      </c>
      <c r="L2" s="97"/>
      <c r="M2" s="97"/>
      <c r="N2" s="97"/>
      <c r="O2" s="97"/>
      <c r="P2" s="97"/>
      <c r="Q2" s="97"/>
      <c r="R2" s="97"/>
      <c r="S2" s="97"/>
      <c r="T2" s="97"/>
    </row>
    <row r="3" spans="1:20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6">
        <v>2032</v>
      </c>
      <c r="H3" s="6">
        <v>47600</v>
      </c>
      <c r="I3" s="6">
        <v>17300</v>
      </c>
    </row>
    <row r="4" spans="1:20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6">
        <v>1947</v>
      </c>
      <c r="H4" s="6">
        <v>3290</v>
      </c>
      <c r="I4" s="6">
        <v>1430</v>
      </c>
      <c r="K4" s="98" t="s">
        <v>89</v>
      </c>
      <c r="L4" s="98"/>
      <c r="M4" s="98"/>
      <c r="N4" s="98"/>
      <c r="O4" s="98"/>
      <c r="P4" s="98"/>
      <c r="Q4" s="98"/>
      <c r="R4" s="98"/>
      <c r="S4" s="98"/>
      <c r="T4" s="98"/>
    </row>
    <row r="5" spans="1:20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6">
        <v>1991</v>
      </c>
      <c r="H5" s="6">
        <v>36100</v>
      </c>
      <c r="I5" s="6">
        <v>2220</v>
      </c>
      <c r="K5" s="98"/>
      <c r="L5" s="98"/>
      <c r="M5" s="98"/>
      <c r="N5" s="98"/>
      <c r="O5" s="98"/>
      <c r="P5" s="98"/>
      <c r="Q5" s="98"/>
      <c r="R5" s="98"/>
      <c r="S5" s="98"/>
      <c r="T5" s="98"/>
    </row>
    <row r="6" spans="1:20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6">
        <v>1953</v>
      </c>
      <c r="H6" s="6">
        <v>5230</v>
      </c>
      <c r="I6" s="6">
        <v>1500</v>
      </c>
      <c r="K6" s="98"/>
      <c r="L6" s="98"/>
      <c r="M6" s="98"/>
      <c r="N6" s="98"/>
      <c r="O6" s="98"/>
      <c r="P6" s="98"/>
      <c r="Q6" s="98"/>
      <c r="R6" s="98"/>
      <c r="S6" s="98"/>
      <c r="T6" s="98"/>
    </row>
    <row r="7" spans="1:20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6">
        <v>1933</v>
      </c>
      <c r="H7" s="6">
        <v>5260</v>
      </c>
      <c r="I7" s="6">
        <v>1520</v>
      </c>
      <c r="K7" s="98"/>
      <c r="L7" s="98"/>
      <c r="M7" s="98"/>
      <c r="N7" s="98"/>
      <c r="O7" s="98"/>
      <c r="P7" s="98"/>
      <c r="Q7" s="98"/>
      <c r="R7" s="98"/>
      <c r="S7" s="98"/>
      <c r="T7" s="98"/>
    </row>
    <row r="8" spans="1:20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6">
        <v>1924</v>
      </c>
      <c r="H8" s="6">
        <v>4600</v>
      </c>
      <c r="I8" s="6">
        <v>1560</v>
      </c>
    </row>
    <row r="9" spans="1:20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6">
        <v>1912</v>
      </c>
      <c r="H9" s="6">
        <v>3360</v>
      </c>
      <c r="I9" s="6">
        <v>1590</v>
      </c>
      <c r="K9" s="18" t="s">
        <v>65</v>
      </c>
    </row>
    <row r="10" spans="1:20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6">
        <v>2028</v>
      </c>
      <c r="H10" s="6">
        <v>45500</v>
      </c>
      <c r="I10" s="6">
        <v>15700</v>
      </c>
      <c r="K10" s="18" t="s">
        <v>66</v>
      </c>
    </row>
    <row r="11" spans="1:20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6">
        <v>1883</v>
      </c>
      <c r="H11" s="6">
        <v>2370</v>
      </c>
      <c r="I11" s="6">
        <v>1250</v>
      </c>
    </row>
    <row r="12" spans="1:20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6">
        <v>2010</v>
      </c>
      <c r="H12" s="6">
        <v>38100</v>
      </c>
      <c r="I12" s="6">
        <v>6320</v>
      </c>
      <c r="K12" s="21" t="s">
        <v>69</v>
      </c>
      <c r="O12" s="21" t="s">
        <v>70</v>
      </c>
    </row>
    <row r="13" spans="1:20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6">
        <v>1941</v>
      </c>
      <c r="H13" s="6">
        <v>6900</v>
      </c>
      <c r="I13" s="6">
        <v>1490</v>
      </c>
      <c r="K13" s="18" t="s">
        <v>40</v>
      </c>
    </row>
    <row r="14" spans="1:20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6">
        <v>1950</v>
      </c>
      <c r="H14" s="6">
        <v>4120</v>
      </c>
      <c r="I14" s="6">
        <v>1410</v>
      </c>
      <c r="K14" s="17"/>
      <c r="L14" s="17" t="s">
        <v>2</v>
      </c>
      <c r="M14" s="17" t="s">
        <v>63</v>
      </c>
      <c r="O14" s="99" t="s">
        <v>2</v>
      </c>
      <c r="P14" s="100"/>
      <c r="R14" s="101" t="s">
        <v>0</v>
      </c>
      <c r="S14" s="102"/>
    </row>
    <row r="15" spans="1:20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6">
        <v>1930</v>
      </c>
      <c r="H15" s="6">
        <v>4630</v>
      </c>
      <c r="I15" s="6">
        <v>1540</v>
      </c>
      <c r="K15" s="14" t="s">
        <v>41</v>
      </c>
      <c r="L15" s="14">
        <v>19220.5</v>
      </c>
      <c r="M15" s="14">
        <v>7468.9</v>
      </c>
      <c r="O15" s="14" t="s">
        <v>71</v>
      </c>
      <c r="P15" s="14">
        <f>COUNT(H2:H101)</f>
        <v>100</v>
      </c>
      <c r="R15" s="14" t="s">
        <v>72</v>
      </c>
      <c r="S15" s="14">
        <f>COUNT(I2:I101)</f>
        <v>100</v>
      </c>
    </row>
    <row r="16" spans="1:20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6">
        <v>1862</v>
      </c>
      <c r="H16" s="6">
        <v>2110</v>
      </c>
      <c r="I16" s="6">
        <v>1120</v>
      </c>
      <c r="K16" s="14" t="s">
        <v>6</v>
      </c>
      <c r="L16" s="14">
        <v>552776990.65656567</v>
      </c>
      <c r="M16" s="14">
        <v>140434735.14141414</v>
      </c>
      <c r="O16" s="14" t="s">
        <v>73</v>
      </c>
      <c r="P16" s="14">
        <f>AVERAGE(H2:H101)</f>
        <v>19220.5</v>
      </c>
      <c r="R16" s="14" t="s">
        <v>74</v>
      </c>
      <c r="S16" s="14">
        <f>AVERAGE(I2:I101)</f>
        <v>7468.9</v>
      </c>
    </row>
    <row r="17" spans="1:19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6">
        <v>2052</v>
      </c>
      <c r="H17" s="6">
        <v>58500</v>
      </c>
      <c r="I17" s="6">
        <v>25700</v>
      </c>
      <c r="K17" s="37" t="s">
        <v>42</v>
      </c>
      <c r="L17" s="14">
        <v>100</v>
      </c>
      <c r="M17" s="14">
        <v>100</v>
      </c>
      <c r="O17" s="20" t="s">
        <v>75</v>
      </c>
      <c r="P17" s="14">
        <f>_xlfn.STDEV.S(H2:H101)</f>
        <v>23511.209893507516</v>
      </c>
      <c r="R17" s="20" t="s">
        <v>76</v>
      </c>
      <c r="S17" s="14">
        <f>_xlfn.STDEV.S(I2:I101)</f>
        <v>11850.516239447721</v>
      </c>
    </row>
    <row r="18" spans="1:19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6">
        <v>1814</v>
      </c>
      <c r="H18" s="6">
        <v>1830</v>
      </c>
      <c r="I18" s="6">
        <v>1170</v>
      </c>
      <c r="K18" s="14" t="s">
        <v>43</v>
      </c>
      <c r="L18" s="14">
        <v>0</v>
      </c>
      <c r="M18" s="14"/>
      <c r="O18" s="14" t="s">
        <v>77</v>
      </c>
      <c r="P18" s="14">
        <f>POWER(P17,2)</f>
        <v>552776990.65656567</v>
      </c>
      <c r="R18" s="14" t="s">
        <v>77</v>
      </c>
      <c r="S18" s="14">
        <f>POWER(S17,2)</f>
        <v>140434735.14141417</v>
      </c>
    </row>
    <row r="19" spans="1:19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6">
        <v>2031</v>
      </c>
      <c r="H19" s="6">
        <v>46900</v>
      </c>
      <c r="I19" s="6">
        <v>16900</v>
      </c>
      <c r="K19" s="14" t="s">
        <v>44</v>
      </c>
      <c r="L19" s="14">
        <v>146</v>
      </c>
      <c r="M19" s="14"/>
    </row>
    <row r="20" spans="1:19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6">
        <v>1872</v>
      </c>
      <c r="H20" s="6">
        <v>2210</v>
      </c>
      <c r="I20" s="6">
        <v>1140</v>
      </c>
      <c r="K20" s="14" t="s">
        <v>45</v>
      </c>
      <c r="L20" s="14">
        <v>4.4633819255137039</v>
      </c>
      <c r="M20" s="14"/>
      <c r="O20" s="14" t="s">
        <v>78</v>
      </c>
      <c r="P20" s="14">
        <f>_xlfn.FLOOR.MATH(POWER(P18/P15+S18/S15,2)/(POWER(P18/P15,2)/(P15-1)+(POWER(S18/S15,2)/(S15-1))))</f>
        <v>146</v>
      </c>
    </row>
    <row r="21" spans="1:19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6">
        <v>1801</v>
      </c>
      <c r="H21" s="6">
        <v>1830</v>
      </c>
      <c r="I21" s="6">
        <v>1170</v>
      </c>
      <c r="K21" s="14" t="s">
        <v>46</v>
      </c>
      <c r="L21" s="14">
        <v>8.0118191286814355E-6</v>
      </c>
      <c r="M21" s="14"/>
      <c r="O21" s="14" t="s">
        <v>45</v>
      </c>
      <c r="P21" s="14">
        <f>(P16-S16)/SQRT(P18/P15+S18/S15)</f>
        <v>4.4633819255137039</v>
      </c>
    </row>
    <row r="22" spans="1:19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6">
        <v>2094</v>
      </c>
      <c r="H22" s="6">
        <v>72200</v>
      </c>
      <c r="I22" s="6">
        <v>45100</v>
      </c>
      <c r="K22" s="14" t="s">
        <v>47</v>
      </c>
      <c r="L22" s="14">
        <v>1.6553573449019661</v>
      </c>
      <c r="M22" s="14"/>
      <c r="O22" s="14" t="s">
        <v>49</v>
      </c>
      <c r="P22" s="14">
        <f>_xlfn.T.INV.2T(1-95%,L19)</f>
        <v>1.9763456545938074</v>
      </c>
    </row>
    <row r="23" spans="1:19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6">
        <v>2035</v>
      </c>
      <c r="H23" s="6">
        <v>49600</v>
      </c>
      <c r="I23" s="6">
        <v>18400</v>
      </c>
      <c r="K23" s="14" t="s">
        <v>48</v>
      </c>
      <c r="L23" s="14">
        <v>1.6023638257362871E-5</v>
      </c>
      <c r="M23" s="14"/>
    </row>
    <row r="24" spans="1:19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6">
        <v>1958</v>
      </c>
      <c r="H24" s="6">
        <v>6810</v>
      </c>
      <c r="I24" s="6">
        <v>1630</v>
      </c>
      <c r="K24" s="14" t="s">
        <v>49</v>
      </c>
      <c r="L24" s="14">
        <v>1.9763456545938156</v>
      </c>
      <c r="M24" s="14"/>
    </row>
    <row r="25" spans="1:19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6">
        <v>1909</v>
      </c>
      <c r="H25" s="6">
        <v>3240</v>
      </c>
      <c r="I25" s="6">
        <v>1550</v>
      </c>
    </row>
    <row r="26" spans="1:19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6">
        <v>1927</v>
      </c>
      <c r="H26" s="6">
        <v>4640</v>
      </c>
      <c r="I26" s="6">
        <v>1550</v>
      </c>
    </row>
    <row r="27" spans="1:19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6">
        <v>2088</v>
      </c>
      <c r="H27" s="6">
        <v>70000</v>
      </c>
      <c r="I27" s="6">
        <v>41400</v>
      </c>
    </row>
    <row r="28" spans="1:19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6">
        <v>1874</v>
      </c>
      <c r="H28" s="6">
        <v>2230</v>
      </c>
      <c r="I28" s="6">
        <v>1160</v>
      </c>
    </row>
    <row r="29" spans="1:19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6">
        <v>1993</v>
      </c>
      <c r="H29" s="6">
        <v>35800</v>
      </c>
      <c r="I29" s="6">
        <v>2500</v>
      </c>
      <c r="L29" s="14" t="s">
        <v>79</v>
      </c>
    </row>
    <row r="30" spans="1:19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6">
        <v>1954</v>
      </c>
      <c r="H30" s="6">
        <v>5430</v>
      </c>
      <c r="I30" s="6">
        <v>1540</v>
      </c>
    </row>
    <row r="31" spans="1:19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6">
        <v>1994</v>
      </c>
      <c r="H31" s="6">
        <v>36000</v>
      </c>
      <c r="I31" s="6">
        <v>2660</v>
      </c>
    </row>
    <row r="32" spans="1:19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6">
        <v>2086</v>
      </c>
      <c r="H32" s="6">
        <v>69400</v>
      </c>
      <c r="I32" s="6">
        <v>40100</v>
      </c>
    </row>
    <row r="33" spans="1:18" ht="15.6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6">
        <v>1873</v>
      </c>
      <c r="H33" s="6">
        <v>2220</v>
      </c>
      <c r="I33" s="6">
        <v>1150</v>
      </c>
      <c r="L33" s="14" t="s">
        <v>80</v>
      </c>
    </row>
    <row r="34" spans="1:18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6">
        <v>2050</v>
      </c>
      <c r="H34" s="6">
        <v>57700</v>
      </c>
      <c r="I34" s="6">
        <v>25300</v>
      </c>
    </row>
    <row r="35" spans="1:18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6">
        <v>1928</v>
      </c>
      <c r="H35" s="6">
        <v>4930</v>
      </c>
      <c r="I35" s="6">
        <v>1540</v>
      </c>
      <c r="K35" s="103" t="s">
        <v>81</v>
      </c>
      <c r="L35" s="103"/>
      <c r="M35" s="103"/>
    </row>
    <row r="36" spans="1:18" ht="15.6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6">
        <v>1809</v>
      </c>
      <c r="H36" s="6">
        <v>1830</v>
      </c>
      <c r="I36" s="6">
        <v>1170</v>
      </c>
      <c r="K36" s="22" t="s">
        <v>82</v>
      </c>
    </row>
    <row r="37" spans="1:18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6">
        <v>1926</v>
      </c>
      <c r="H37" s="6">
        <v>4660</v>
      </c>
      <c r="I37" s="6">
        <v>1550</v>
      </c>
      <c r="K37" s="16" t="s">
        <v>83</v>
      </c>
    </row>
    <row r="38" spans="1:18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6">
        <v>1956</v>
      </c>
      <c r="H38" s="6">
        <v>6140</v>
      </c>
      <c r="I38" s="6">
        <v>1600</v>
      </c>
      <c r="K38" s="96" t="s">
        <v>84</v>
      </c>
      <c r="L38" s="96"/>
      <c r="M38" s="96"/>
      <c r="N38" s="96"/>
      <c r="O38" s="38"/>
    </row>
    <row r="39" spans="1:18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6">
        <v>2026</v>
      </c>
      <c r="H39" s="6">
        <v>44300</v>
      </c>
      <c r="I39" s="6">
        <v>14000</v>
      </c>
    </row>
    <row r="40" spans="1:18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6">
        <v>2005</v>
      </c>
      <c r="H40" s="6">
        <v>38900</v>
      </c>
      <c r="I40" s="6">
        <v>4910</v>
      </c>
    </row>
    <row r="41" spans="1:18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6">
        <v>1940</v>
      </c>
      <c r="H41" s="6">
        <v>6780</v>
      </c>
      <c r="I41" s="6">
        <v>1500</v>
      </c>
    </row>
    <row r="42" spans="1:18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6">
        <v>1934</v>
      </c>
      <c r="H42" s="6">
        <v>5210</v>
      </c>
      <c r="I42" s="6">
        <v>1520</v>
      </c>
    </row>
    <row r="43" spans="1:18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6">
        <v>1834</v>
      </c>
      <c r="H43" s="6">
        <v>1910</v>
      </c>
      <c r="I43" s="6">
        <v>1150</v>
      </c>
    </row>
    <row r="44" spans="1:18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6">
        <v>2085</v>
      </c>
      <c r="H44" s="6">
        <v>69700</v>
      </c>
      <c r="I44" s="6">
        <v>39400</v>
      </c>
      <c r="K44" s="14" t="s">
        <v>85</v>
      </c>
      <c r="L44" s="14">
        <f>L15-M15-L24*SQRT(P18/L17+S18/M17)</f>
        <v>6548.0964723802736</v>
      </c>
    </row>
    <row r="45" spans="1:18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6">
        <v>1939</v>
      </c>
      <c r="H45" s="6">
        <v>6670</v>
      </c>
      <c r="I45" s="6">
        <v>1500</v>
      </c>
      <c r="K45" s="14" t="s">
        <v>86</v>
      </c>
      <c r="L45" s="14">
        <f>L15-M15+L24*SQRT(P18/L17+S18/M17)</f>
        <v>16955.103527619729</v>
      </c>
    </row>
    <row r="46" spans="1:18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6">
        <v>1881</v>
      </c>
      <c r="H46" s="6">
        <v>2340</v>
      </c>
      <c r="I46" s="6">
        <v>1230</v>
      </c>
      <c r="K46" s="96" t="s">
        <v>87</v>
      </c>
      <c r="L46" s="96"/>
      <c r="M46" s="96"/>
      <c r="N46" s="96"/>
      <c r="O46" s="96"/>
    </row>
    <row r="47" spans="1:18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6">
        <v>1957</v>
      </c>
      <c r="H47" s="6">
        <v>6510</v>
      </c>
      <c r="I47" s="6">
        <v>1610</v>
      </c>
      <c r="K47" s="96" t="s">
        <v>88</v>
      </c>
      <c r="L47" s="96"/>
      <c r="M47" s="96"/>
      <c r="N47" s="96"/>
      <c r="O47" s="96"/>
      <c r="P47" s="96"/>
      <c r="Q47" s="96"/>
      <c r="R47" s="38"/>
    </row>
    <row r="48" spans="1:18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6">
        <v>1877</v>
      </c>
      <c r="H48" s="6">
        <v>2280</v>
      </c>
      <c r="I48" s="6">
        <v>1190</v>
      </c>
    </row>
    <row r="49" spans="1:9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6">
        <v>1923</v>
      </c>
      <c r="H49" s="6">
        <v>4500</v>
      </c>
      <c r="I49" s="6">
        <v>1570</v>
      </c>
    </row>
    <row r="50" spans="1:9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6">
        <v>1867</v>
      </c>
      <c r="H50" s="6">
        <v>2160</v>
      </c>
      <c r="I50" s="6">
        <v>1120</v>
      </c>
    </row>
    <row r="51" spans="1:9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6">
        <v>1816</v>
      </c>
      <c r="H51" s="6">
        <v>1830</v>
      </c>
      <c r="I51" s="6">
        <v>1170</v>
      </c>
    </row>
    <row r="52" spans="1:9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6">
        <v>2017</v>
      </c>
      <c r="H52" s="6">
        <v>41400</v>
      </c>
      <c r="I52" s="6">
        <v>9050</v>
      </c>
    </row>
    <row r="53" spans="1:9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6">
        <v>2070</v>
      </c>
      <c r="H53" s="6">
        <v>63600</v>
      </c>
      <c r="I53" s="6">
        <v>33400</v>
      </c>
    </row>
    <row r="54" spans="1:9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6">
        <v>1812</v>
      </c>
      <c r="H54" s="6">
        <v>1830</v>
      </c>
      <c r="I54" s="6">
        <v>1170</v>
      </c>
    </row>
    <row r="55" spans="1:9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6">
        <v>2011</v>
      </c>
      <c r="H55" s="6">
        <v>38100</v>
      </c>
      <c r="I55" s="6">
        <v>6660</v>
      </c>
    </row>
    <row r="56" spans="1:9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6">
        <v>1955</v>
      </c>
      <c r="H56" s="6">
        <v>5790</v>
      </c>
      <c r="I56" s="6">
        <v>1570</v>
      </c>
    </row>
    <row r="57" spans="1:9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6">
        <v>1833</v>
      </c>
      <c r="H57" s="6">
        <v>1910</v>
      </c>
      <c r="I57" s="6">
        <v>1150</v>
      </c>
    </row>
    <row r="58" spans="1:9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6">
        <v>1911</v>
      </c>
      <c r="H58" s="6">
        <v>3330</v>
      </c>
      <c r="I58" s="6">
        <v>1580</v>
      </c>
    </row>
    <row r="59" spans="1:9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6">
        <v>2044</v>
      </c>
      <c r="H59" s="6">
        <v>52000</v>
      </c>
      <c r="I59" s="6">
        <v>22700</v>
      </c>
    </row>
    <row r="60" spans="1:9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6">
        <v>1915</v>
      </c>
      <c r="H60" s="6">
        <v>3490</v>
      </c>
      <c r="I60" s="6">
        <v>1600</v>
      </c>
    </row>
    <row r="61" spans="1:9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6">
        <v>2087</v>
      </c>
      <c r="H61" s="6">
        <v>69400</v>
      </c>
      <c r="I61" s="6">
        <v>40700</v>
      </c>
    </row>
    <row r="62" spans="1:9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6">
        <v>1830</v>
      </c>
      <c r="H62" s="6">
        <v>1890</v>
      </c>
      <c r="I62" s="6">
        <v>1160</v>
      </c>
    </row>
    <row r="63" spans="1:9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6">
        <v>1821</v>
      </c>
      <c r="H63" s="6">
        <v>1830</v>
      </c>
      <c r="I63" s="6">
        <v>1160</v>
      </c>
    </row>
    <row r="64" spans="1:9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6">
        <v>1893</v>
      </c>
      <c r="H64" s="6">
        <v>2540</v>
      </c>
      <c r="I64" s="6">
        <v>1360</v>
      </c>
    </row>
    <row r="65" spans="1:9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6">
        <v>1817</v>
      </c>
      <c r="H65" s="6">
        <v>1830</v>
      </c>
      <c r="I65" s="6">
        <v>1170</v>
      </c>
    </row>
    <row r="66" spans="1:9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6">
        <v>1932</v>
      </c>
      <c r="H66" s="6">
        <v>4900</v>
      </c>
      <c r="I66" s="6">
        <v>1530</v>
      </c>
    </row>
    <row r="67" spans="1:9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6">
        <v>1961</v>
      </c>
      <c r="H67" s="6">
        <v>9060</v>
      </c>
      <c r="I67" s="6">
        <v>1670</v>
      </c>
    </row>
    <row r="68" spans="1:9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6">
        <v>1819</v>
      </c>
      <c r="H68" s="6">
        <v>1830</v>
      </c>
      <c r="I68" s="6">
        <v>1170</v>
      </c>
    </row>
    <row r="69" spans="1:9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6">
        <v>1952</v>
      </c>
      <c r="H69" s="6">
        <v>4960</v>
      </c>
      <c r="I69" s="6">
        <v>1470</v>
      </c>
    </row>
    <row r="70" spans="1:9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6">
        <v>2071</v>
      </c>
      <c r="H70" s="6">
        <v>63300</v>
      </c>
      <c r="I70" s="6">
        <v>33400</v>
      </c>
    </row>
    <row r="71" spans="1:9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6">
        <v>1972</v>
      </c>
      <c r="H71" s="6">
        <v>20800</v>
      </c>
      <c r="I71" s="6">
        <v>1530</v>
      </c>
    </row>
    <row r="72" spans="1:9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6">
        <v>1913</v>
      </c>
      <c r="H72" s="6">
        <v>3370</v>
      </c>
      <c r="I72" s="6">
        <v>1610</v>
      </c>
    </row>
    <row r="73" spans="1:9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6">
        <v>2021</v>
      </c>
      <c r="H73" s="6">
        <v>40800</v>
      </c>
      <c r="I73" s="6">
        <v>10600</v>
      </c>
    </row>
    <row r="74" spans="1:9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6">
        <v>1882</v>
      </c>
      <c r="H74" s="6">
        <v>2350</v>
      </c>
      <c r="I74" s="6">
        <v>1240</v>
      </c>
    </row>
    <row r="75" spans="1:9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6">
        <v>2038</v>
      </c>
      <c r="H75" s="6">
        <v>51300</v>
      </c>
      <c r="I75" s="6">
        <v>19900</v>
      </c>
    </row>
    <row r="76" spans="1:9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6">
        <v>1807</v>
      </c>
      <c r="H76" s="6">
        <v>1830</v>
      </c>
      <c r="I76" s="6">
        <v>1170</v>
      </c>
    </row>
    <row r="77" spans="1:9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6">
        <v>2091</v>
      </c>
      <c r="H77" s="6">
        <v>71100</v>
      </c>
      <c r="I77" s="6">
        <v>43100</v>
      </c>
    </row>
    <row r="78" spans="1:9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6">
        <v>1949</v>
      </c>
      <c r="H78" s="6">
        <v>3870</v>
      </c>
      <c r="I78" s="6">
        <v>1410</v>
      </c>
    </row>
    <row r="79" spans="1:9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6">
        <v>2073</v>
      </c>
      <c r="H79" s="6">
        <v>62200</v>
      </c>
      <c r="I79" s="6">
        <v>34300</v>
      </c>
    </row>
    <row r="80" spans="1:9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6">
        <v>2037</v>
      </c>
      <c r="H80" s="6">
        <v>50600</v>
      </c>
      <c r="I80" s="6">
        <v>19400</v>
      </c>
    </row>
    <row r="81" spans="1:9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6">
        <v>1908</v>
      </c>
      <c r="H81" s="6">
        <v>3270</v>
      </c>
      <c r="I81" s="6">
        <v>1540</v>
      </c>
    </row>
    <row r="82" spans="1:9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6">
        <v>1806</v>
      </c>
      <c r="H82" s="6">
        <v>1830</v>
      </c>
      <c r="I82" s="6">
        <v>1170</v>
      </c>
    </row>
    <row r="83" spans="1:9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6">
        <v>1937</v>
      </c>
      <c r="H83" s="6">
        <v>5660</v>
      </c>
      <c r="I83" s="6">
        <v>1510</v>
      </c>
    </row>
    <row r="84" spans="1:9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6">
        <v>1886</v>
      </c>
      <c r="H84" s="6">
        <v>2540</v>
      </c>
      <c r="I84" s="6">
        <v>1280</v>
      </c>
    </row>
    <row r="85" spans="1:9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6">
        <v>1997</v>
      </c>
      <c r="H85" s="6">
        <v>37800</v>
      </c>
      <c r="I85" s="6">
        <v>3270</v>
      </c>
    </row>
    <row r="86" spans="1:9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6">
        <v>1823</v>
      </c>
      <c r="H86" s="6">
        <v>1850</v>
      </c>
      <c r="I86" s="6">
        <v>1160</v>
      </c>
    </row>
    <row r="87" spans="1:9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6">
        <v>1828</v>
      </c>
      <c r="H87" s="6">
        <v>1880</v>
      </c>
      <c r="I87" s="6">
        <v>1160</v>
      </c>
    </row>
    <row r="88" spans="1:9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6">
        <v>1811</v>
      </c>
      <c r="H88" s="6">
        <v>1830</v>
      </c>
      <c r="I88" s="6">
        <v>1170</v>
      </c>
    </row>
    <row r="89" spans="1:9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6">
        <v>1980</v>
      </c>
      <c r="H89" s="6">
        <v>25200</v>
      </c>
      <c r="I89" s="6">
        <v>1560</v>
      </c>
    </row>
    <row r="90" spans="1:9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6">
        <v>2014</v>
      </c>
      <c r="H90" s="6">
        <v>39700</v>
      </c>
      <c r="I90" s="6">
        <v>7640</v>
      </c>
    </row>
    <row r="91" spans="1:9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6">
        <v>1837</v>
      </c>
      <c r="H91" s="6">
        <v>1930</v>
      </c>
      <c r="I91" s="6">
        <v>1150</v>
      </c>
    </row>
    <row r="92" spans="1:9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6">
        <v>1871</v>
      </c>
      <c r="H92" s="6">
        <v>2200</v>
      </c>
      <c r="I92" s="6">
        <v>1130</v>
      </c>
    </row>
    <row r="93" spans="1:9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6">
        <v>1900</v>
      </c>
      <c r="H93" s="6">
        <v>2950</v>
      </c>
      <c r="I93" s="6">
        <v>1440</v>
      </c>
    </row>
    <row r="94" spans="1:9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6">
        <v>2054</v>
      </c>
      <c r="H94" s="6">
        <v>59400</v>
      </c>
      <c r="I94" s="6">
        <v>26300</v>
      </c>
    </row>
    <row r="95" spans="1:9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6">
        <v>1906</v>
      </c>
      <c r="H95" s="6">
        <v>3230</v>
      </c>
      <c r="I95" s="6">
        <v>1520</v>
      </c>
    </row>
    <row r="96" spans="1:9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6">
        <v>1904</v>
      </c>
      <c r="H96" s="6">
        <v>3020</v>
      </c>
      <c r="I96" s="6">
        <v>1490</v>
      </c>
    </row>
    <row r="97" spans="1:9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6">
        <v>2001</v>
      </c>
      <c r="H97" s="6">
        <v>37500</v>
      </c>
      <c r="I97" s="6">
        <v>3900</v>
      </c>
    </row>
    <row r="98" spans="1:9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6">
        <v>2042</v>
      </c>
      <c r="H98" s="6">
        <v>53000</v>
      </c>
      <c r="I98" s="6">
        <v>21700</v>
      </c>
    </row>
    <row r="99" spans="1:9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6">
        <v>1832</v>
      </c>
      <c r="H99" s="6">
        <v>1900</v>
      </c>
      <c r="I99" s="6">
        <v>1150</v>
      </c>
    </row>
    <row r="100" spans="1:9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6">
        <v>1920</v>
      </c>
      <c r="H100" s="6">
        <v>4130</v>
      </c>
      <c r="I100" s="6">
        <v>1580</v>
      </c>
    </row>
    <row r="101" spans="1:9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6">
        <v>1802</v>
      </c>
      <c r="H101" s="6">
        <v>1830</v>
      </c>
      <c r="I101" s="6">
        <v>1170</v>
      </c>
    </row>
    <row r="102" spans="1:9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9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9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9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9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9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9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9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9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9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9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mergeCells count="8">
    <mergeCell ref="K47:Q47"/>
    <mergeCell ref="K46:O46"/>
    <mergeCell ref="K2:T2"/>
    <mergeCell ref="K4:T7"/>
    <mergeCell ref="O14:P14"/>
    <mergeCell ref="R14:S14"/>
    <mergeCell ref="K35:M35"/>
    <mergeCell ref="K38:N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2016-FC7E-462E-A752-334D867B09D5}">
  <dimension ref="A1:AA302"/>
  <sheetViews>
    <sheetView topLeftCell="D1" zoomScale="85" zoomScaleNormal="85" workbookViewId="0">
      <selection activeCell="K18" sqref="K18"/>
    </sheetView>
  </sheetViews>
  <sheetFormatPr defaultRowHeight="14.4" x14ac:dyDescent="0.3"/>
  <cols>
    <col min="1" max="1" width="5.109375" bestFit="1" customWidth="1"/>
    <col min="2" max="2" width="14.77734375" bestFit="1" customWidth="1"/>
    <col min="3" max="3" width="17.6640625" bestFit="1" customWidth="1"/>
    <col min="4" max="4" width="12.44140625" bestFit="1" customWidth="1"/>
    <col min="5" max="5" width="15.44140625" bestFit="1" customWidth="1"/>
    <col min="7" max="7" width="5.109375" bestFit="1" customWidth="1"/>
    <col min="8" max="8" width="12.21875" bestFit="1" customWidth="1"/>
    <col min="9" max="9" width="14.5546875" bestFit="1" customWidth="1"/>
    <col min="11" max="11" width="26.44140625" bestFit="1" customWidth="1"/>
    <col min="12" max="12" width="13.109375" bestFit="1" customWidth="1"/>
  </cols>
  <sheetData>
    <row r="1" spans="1:2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6" t="s">
        <v>4</v>
      </c>
      <c r="H1" s="6" t="s">
        <v>2</v>
      </c>
      <c r="I1" s="6" t="s">
        <v>0</v>
      </c>
    </row>
    <row r="2" spans="1:21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7">
        <v>1808</v>
      </c>
      <c r="H2" s="6">
        <v>1830</v>
      </c>
      <c r="I2" s="6">
        <v>1170</v>
      </c>
      <c r="K2" s="104" t="s">
        <v>90</v>
      </c>
      <c r="L2" s="104"/>
      <c r="M2" s="104"/>
      <c r="N2" s="104"/>
      <c r="O2" s="104"/>
      <c r="P2" s="104"/>
      <c r="Q2" s="104"/>
      <c r="R2" s="104"/>
      <c r="S2" s="104"/>
      <c r="T2" s="104"/>
      <c r="U2" s="104"/>
    </row>
    <row r="3" spans="1:21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7">
        <v>2032</v>
      </c>
      <c r="H3" s="6">
        <v>47600</v>
      </c>
      <c r="I3" s="6">
        <v>17300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7">
        <v>1947</v>
      </c>
      <c r="H4" s="6">
        <v>3290</v>
      </c>
      <c r="I4" s="6">
        <v>1430</v>
      </c>
    </row>
    <row r="5" spans="1:21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7">
        <v>1991</v>
      </c>
      <c r="H5" s="6">
        <v>36100</v>
      </c>
      <c r="I5" s="6">
        <v>2220</v>
      </c>
    </row>
    <row r="6" spans="1:21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7">
        <v>1953</v>
      </c>
      <c r="H6" s="6">
        <v>5230</v>
      </c>
      <c r="I6" s="6">
        <v>1500</v>
      </c>
    </row>
    <row r="7" spans="1:21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7">
        <v>1933</v>
      </c>
      <c r="H7" s="6">
        <v>5260</v>
      </c>
      <c r="I7" s="6">
        <v>1520</v>
      </c>
    </row>
    <row r="8" spans="1:21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7">
        <v>1924</v>
      </c>
      <c r="H8" s="6">
        <v>4600</v>
      </c>
      <c r="I8" s="6">
        <v>1560</v>
      </c>
    </row>
    <row r="9" spans="1:21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7">
        <v>1912</v>
      </c>
      <c r="H9" s="6">
        <v>3360</v>
      </c>
      <c r="I9" s="6">
        <v>1590</v>
      </c>
    </row>
    <row r="10" spans="1:21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7">
        <v>2028</v>
      </c>
      <c r="H10" s="6">
        <v>45500</v>
      </c>
      <c r="I10" s="6">
        <v>15700</v>
      </c>
    </row>
    <row r="11" spans="1:21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7">
        <v>1883</v>
      </c>
      <c r="H11" s="6">
        <v>2370</v>
      </c>
      <c r="I11" s="6">
        <v>1250</v>
      </c>
      <c r="K11" s="14" t="s">
        <v>163</v>
      </c>
      <c r="L11" s="14">
        <v>9</v>
      </c>
    </row>
    <row r="12" spans="1:21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7">
        <v>2010</v>
      </c>
      <c r="H12" s="6">
        <v>38100</v>
      </c>
      <c r="I12" s="6">
        <v>6320</v>
      </c>
      <c r="K12" s="14" t="s">
        <v>165</v>
      </c>
      <c r="L12" s="14">
        <v>100</v>
      </c>
    </row>
    <row r="13" spans="1:21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7">
        <v>1941</v>
      </c>
      <c r="H13" s="6">
        <v>6900</v>
      </c>
      <c r="I13" s="6">
        <v>1490</v>
      </c>
      <c r="K13" s="14" t="s">
        <v>164</v>
      </c>
      <c r="L13" s="14">
        <v>32</v>
      </c>
    </row>
    <row r="14" spans="1:21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7">
        <v>1950</v>
      </c>
      <c r="H14" s="6">
        <v>4120</v>
      </c>
      <c r="I14" s="6">
        <v>1410</v>
      </c>
      <c r="K14" s="14" t="s">
        <v>166</v>
      </c>
      <c r="L14" s="14">
        <v>100</v>
      </c>
    </row>
    <row r="15" spans="1:21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7">
        <v>1930</v>
      </c>
      <c r="H15" s="6">
        <v>4630</v>
      </c>
      <c r="I15" s="6">
        <v>1540</v>
      </c>
      <c r="K15" s="14" t="s">
        <v>91</v>
      </c>
      <c r="L15" s="14">
        <f>((L11+L13)/(L12+L14))</f>
        <v>0.20499999999999999</v>
      </c>
    </row>
    <row r="16" spans="1:21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7">
        <v>1862</v>
      </c>
      <c r="H16" s="6">
        <v>2110</v>
      </c>
      <c r="I16" s="6">
        <v>1120</v>
      </c>
      <c r="K16" s="14" t="s">
        <v>92</v>
      </c>
      <c r="L16" s="14">
        <f>L11/L12</f>
        <v>0.09</v>
      </c>
    </row>
    <row r="17" spans="1:27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7">
        <v>2052</v>
      </c>
      <c r="H17" s="6">
        <v>58500</v>
      </c>
      <c r="I17" s="6">
        <v>25700</v>
      </c>
      <c r="K17" s="14" t="s">
        <v>93</v>
      </c>
      <c r="L17" s="14">
        <f>L13/L14</f>
        <v>0.32</v>
      </c>
    </row>
    <row r="18" spans="1:27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7">
        <v>1814</v>
      </c>
      <c r="H18" s="6">
        <v>1830</v>
      </c>
      <c r="I18" s="6">
        <v>1170</v>
      </c>
      <c r="K18" s="14" t="s">
        <v>94</v>
      </c>
      <c r="L18" s="14">
        <f>(L16-L17)</f>
        <v>-0.23</v>
      </c>
    </row>
    <row r="19" spans="1:27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7">
        <v>2031</v>
      </c>
      <c r="H19" s="6">
        <v>46900</v>
      </c>
      <c r="I19" s="6">
        <v>16900</v>
      </c>
      <c r="K19" s="14" t="s">
        <v>95</v>
      </c>
      <c r="L19" s="14">
        <f>(SQRT(L16*(1-L16)/L12+L17*(1-L17)/L14))</f>
        <v>5.4726593170048507E-2</v>
      </c>
    </row>
    <row r="20" spans="1:27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7">
        <v>1872</v>
      </c>
      <c r="H20" s="6">
        <v>2210</v>
      </c>
      <c r="I20" s="6">
        <v>1140</v>
      </c>
      <c r="K20" s="14" t="s">
        <v>96</v>
      </c>
      <c r="L20" s="14">
        <v>1.96</v>
      </c>
    </row>
    <row r="21" spans="1:27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7">
        <v>1801</v>
      </c>
      <c r="H21" s="6">
        <v>1830</v>
      </c>
      <c r="I21" s="6">
        <v>1170</v>
      </c>
      <c r="K21" s="14" t="s">
        <v>97</v>
      </c>
      <c r="L21" s="15">
        <v>0.95</v>
      </c>
    </row>
    <row r="22" spans="1:27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7">
        <v>2094</v>
      </c>
      <c r="H22" s="6">
        <v>72200</v>
      </c>
      <c r="I22" s="6">
        <v>45100</v>
      </c>
      <c r="K22" s="14" t="s">
        <v>100</v>
      </c>
      <c r="L22" s="14">
        <f>(L18/(SQRT(L15*(1-L15)*(1/L12+1/L14))))</f>
        <v>-4.0285832558788552</v>
      </c>
    </row>
    <row r="23" spans="1:27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7">
        <v>2035</v>
      </c>
      <c r="H23" s="6">
        <v>49600</v>
      </c>
      <c r="I23" s="6">
        <v>18400</v>
      </c>
      <c r="K23" s="14" t="s">
        <v>98</v>
      </c>
      <c r="L23" s="14">
        <f>(L18+L19*L20)</f>
        <v>-0.12273587738670494</v>
      </c>
    </row>
    <row r="24" spans="1:27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7">
        <v>1958</v>
      </c>
      <c r="H24" s="6">
        <v>6810</v>
      </c>
      <c r="I24" s="6">
        <v>1630</v>
      </c>
      <c r="K24" s="14" t="s">
        <v>99</v>
      </c>
      <c r="L24" s="14">
        <f>(L18-L19*L20)</f>
        <v>-0.33726412261329508</v>
      </c>
    </row>
    <row r="25" spans="1:27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7">
        <v>1909</v>
      </c>
      <c r="H25" s="6">
        <v>3240</v>
      </c>
      <c r="I25" s="6">
        <v>1550</v>
      </c>
    </row>
    <row r="26" spans="1:27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7">
        <v>1927</v>
      </c>
      <c r="H26" s="6">
        <v>4640</v>
      </c>
      <c r="I26" s="6">
        <v>1550</v>
      </c>
      <c r="K26" s="105" t="s">
        <v>101</v>
      </c>
      <c r="L26" s="105"/>
    </row>
    <row r="27" spans="1:27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7">
        <v>2088</v>
      </c>
      <c r="H27" s="6">
        <v>70000</v>
      </c>
      <c r="I27" s="6">
        <v>41400</v>
      </c>
      <c r="K27" s="106" t="s">
        <v>102</v>
      </c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7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7">
        <v>1874</v>
      </c>
      <c r="H28" s="6">
        <v>2230</v>
      </c>
      <c r="I28" s="6">
        <v>1160</v>
      </c>
    </row>
    <row r="29" spans="1:27" ht="15.6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7">
        <v>1993</v>
      </c>
      <c r="H29" s="6">
        <v>35800</v>
      </c>
      <c r="I29" s="6">
        <v>2500</v>
      </c>
      <c r="K29" s="107" t="s">
        <v>103</v>
      </c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</row>
    <row r="30" spans="1:27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7">
        <v>1954</v>
      </c>
      <c r="H30" s="6">
        <v>5430</v>
      </c>
      <c r="I30" s="6">
        <v>1540</v>
      </c>
      <c r="K30" s="103" t="s">
        <v>104</v>
      </c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1:27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7">
        <v>1994</v>
      </c>
      <c r="H31" s="6">
        <v>36000</v>
      </c>
      <c r="I31" s="6">
        <v>2660</v>
      </c>
    </row>
    <row r="32" spans="1:27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7">
        <v>2086</v>
      </c>
      <c r="H32" s="6">
        <v>69400</v>
      </c>
      <c r="I32" s="6">
        <v>40100</v>
      </c>
    </row>
    <row r="33" spans="1:9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7">
        <v>1873</v>
      </c>
      <c r="H33" s="6">
        <v>2220</v>
      </c>
      <c r="I33" s="6">
        <v>1150</v>
      </c>
    </row>
    <row r="34" spans="1:9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7">
        <v>2050</v>
      </c>
      <c r="H34" s="6">
        <v>57700</v>
      </c>
      <c r="I34" s="6">
        <v>25300</v>
      </c>
    </row>
    <row r="35" spans="1:9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7">
        <v>1928</v>
      </c>
      <c r="H35" s="6">
        <v>4930</v>
      </c>
      <c r="I35" s="6">
        <v>1540</v>
      </c>
    </row>
    <row r="36" spans="1:9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7">
        <v>1809</v>
      </c>
      <c r="H36" s="6">
        <v>1830</v>
      </c>
      <c r="I36" s="6">
        <v>1170</v>
      </c>
    </row>
    <row r="37" spans="1:9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7">
        <v>1926</v>
      </c>
      <c r="H37" s="6">
        <v>4660</v>
      </c>
      <c r="I37" s="6">
        <v>1550</v>
      </c>
    </row>
    <row r="38" spans="1:9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7">
        <v>1956</v>
      </c>
      <c r="H38" s="6">
        <v>6140</v>
      </c>
      <c r="I38" s="6">
        <v>1600</v>
      </c>
    </row>
    <row r="39" spans="1:9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7">
        <v>2026</v>
      </c>
      <c r="H39" s="6">
        <v>44300</v>
      </c>
      <c r="I39" s="6">
        <v>14000</v>
      </c>
    </row>
    <row r="40" spans="1:9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7">
        <v>2005</v>
      </c>
      <c r="H40" s="6">
        <v>38900</v>
      </c>
      <c r="I40" s="6">
        <v>4910</v>
      </c>
    </row>
    <row r="41" spans="1:9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7">
        <v>1940</v>
      </c>
      <c r="H41" s="6">
        <v>6780</v>
      </c>
      <c r="I41" s="6">
        <v>1500</v>
      </c>
    </row>
    <row r="42" spans="1:9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7">
        <v>1934</v>
      </c>
      <c r="H42" s="6">
        <v>5210</v>
      </c>
      <c r="I42" s="6">
        <v>1520</v>
      </c>
    </row>
    <row r="43" spans="1:9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7">
        <v>1834</v>
      </c>
      <c r="H43" s="6">
        <v>1910</v>
      </c>
      <c r="I43" s="6">
        <v>1150</v>
      </c>
    </row>
    <row r="44" spans="1:9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7">
        <v>2085</v>
      </c>
      <c r="H44" s="6">
        <v>69700</v>
      </c>
      <c r="I44" s="6">
        <v>39400</v>
      </c>
    </row>
    <row r="45" spans="1:9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7">
        <v>1939</v>
      </c>
      <c r="H45" s="6">
        <v>6670</v>
      </c>
      <c r="I45" s="6">
        <v>1500</v>
      </c>
    </row>
    <row r="46" spans="1:9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7">
        <v>1881</v>
      </c>
      <c r="H46" s="6">
        <v>2340</v>
      </c>
      <c r="I46" s="6">
        <v>1230</v>
      </c>
    </row>
    <row r="47" spans="1:9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7">
        <v>1957</v>
      </c>
      <c r="H47" s="6">
        <v>6510</v>
      </c>
      <c r="I47" s="6">
        <v>1610</v>
      </c>
    </row>
    <row r="48" spans="1:9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7">
        <v>1877</v>
      </c>
      <c r="H48" s="6">
        <v>2280</v>
      </c>
      <c r="I48" s="6">
        <v>1190</v>
      </c>
    </row>
    <row r="49" spans="1:9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7">
        <v>1923</v>
      </c>
      <c r="H49" s="6">
        <v>4500</v>
      </c>
      <c r="I49" s="6">
        <v>1570</v>
      </c>
    </row>
    <row r="50" spans="1:9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7">
        <v>1867</v>
      </c>
      <c r="H50" s="6">
        <v>2160</v>
      </c>
      <c r="I50" s="6">
        <v>1120</v>
      </c>
    </row>
    <row r="51" spans="1:9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7">
        <v>1816</v>
      </c>
      <c r="H51" s="6">
        <v>1830</v>
      </c>
      <c r="I51" s="6">
        <v>1170</v>
      </c>
    </row>
    <row r="52" spans="1:9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7">
        <v>2017</v>
      </c>
      <c r="H52" s="6">
        <v>41400</v>
      </c>
      <c r="I52" s="6">
        <v>9050</v>
      </c>
    </row>
    <row r="53" spans="1:9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7">
        <v>2070</v>
      </c>
      <c r="H53" s="6">
        <v>63600</v>
      </c>
      <c r="I53" s="6">
        <v>33400</v>
      </c>
    </row>
    <row r="54" spans="1:9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7">
        <v>1812</v>
      </c>
      <c r="H54" s="6">
        <v>1830</v>
      </c>
      <c r="I54" s="6">
        <v>1170</v>
      </c>
    </row>
    <row r="55" spans="1:9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7">
        <v>2011</v>
      </c>
      <c r="H55" s="6">
        <v>38100</v>
      </c>
      <c r="I55" s="6">
        <v>6660</v>
      </c>
    </row>
    <row r="56" spans="1:9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7">
        <v>1955</v>
      </c>
      <c r="H56" s="6">
        <v>5790</v>
      </c>
      <c r="I56" s="6">
        <v>1570</v>
      </c>
    </row>
    <row r="57" spans="1:9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7">
        <v>1833</v>
      </c>
      <c r="H57" s="6">
        <v>1910</v>
      </c>
      <c r="I57" s="6">
        <v>1150</v>
      </c>
    </row>
    <row r="58" spans="1:9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7">
        <v>1911</v>
      </c>
      <c r="H58" s="6">
        <v>3330</v>
      </c>
      <c r="I58" s="6">
        <v>1580</v>
      </c>
    </row>
    <row r="59" spans="1:9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7">
        <v>2044</v>
      </c>
      <c r="H59" s="6">
        <v>52000</v>
      </c>
      <c r="I59" s="6">
        <v>22700</v>
      </c>
    </row>
    <row r="60" spans="1:9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7">
        <v>1915</v>
      </c>
      <c r="H60" s="6">
        <v>3490</v>
      </c>
      <c r="I60" s="6">
        <v>1600</v>
      </c>
    </row>
    <row r="61" spans="1:9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7">
        <v>2087</v>
      </c>
      <c r="H61" s="6">
        <v>69400</v>
      </c>
      <c r="I61" s="6">
        <v>40700</v>
      </c>
    </row>
    <row r="62" spans="1:9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7">
        <v>1830</v>
      </c>
      <c r="H62" s="6">
        <v>1890</v>
      </c>
      <c r="I62" s="6">
        <v>1160</v>
      </c>
    </row>
    <row r="63" spans="1:9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7">
        <v>1821</v>
      </c>
      <c r="H63" s="6">
        <v>1830</v>
      </c>
      <c r="I63" s="6">
        <v>1160</v>
      </c>
    </row>
    <row r="64" spans="1:9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7">
        <v>1893</v>
      </c>
      <c r="H64" s="6">
        <v>2540</v>
      </c>
      <c r="I64" s="6">
        <v>1360</v>
      </c>
    </row>
    <row r="65" spans="1:9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7">
        <v>1817</v>
      </c>
      <c r="H65" s="6">
        <v>1830</v>
      </c>
      <c r="I65" s="6">
        <v>1170</v>
      </c>
    </row>
    <row r="66" spans="1:9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7">
        <v>1932</v>
      </c>
      <c r="H66" s="6">
        <v>4900</v>
      </c>
      <c r="I66" s="6">
        <v>1530</v>
      </c>
    </row>
    <row r="67" spans="1:9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7">
        <v>1961</v>
      </c>
      <c r="H67" s="6">
        <v>9060</v>
      </c>
      <c r="I67" s="6">
        <v>1670</v>
      </c>
    </row>
    <row r="68" spans="1:9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7">
        <v>1819</v>
      </c>
      <c r="H68" s="6">
        <v>1830</v>
      </c>
      <c r="I68" s="6">
        <v>1170</v>
      </c>
    </row>
    <row r="69" spans="1:9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7">
        <v>1952</v>
      </c>
      <c r="H69" s="6">
        <v>4960</v>
      </c>
      <c r="I69" s="6">
        <v>1470</v>
      </c>
    </row>
    <row r="70" spans="1:9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7">
        <v>2071</v>
      </c>
      <c r="H70" s="6">
        <v>63300</v>
      </c>
      <c r="I70" s="6">
        <v>33400</v>
      </c>
    </row>
    <row r="71" spans="1:9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7">
        <v>1972</v>
      </c>
      <c r="H71" s="6">
        <v>20800</v>
      </c>
      <c r="I71" s="6">
        <v>1530</v>
      </c>
    </row>
    <row r="72" spans="1:9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7">
        <v>1913</v>
      </c>
      <c r="H72" s="6">
        <v>3370</v>
      </c>
      <c r="I72" s="6">
        <v>1610</v>
      </c>
    </row>
    <row r="73" spans="1:9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7">
        <v>2021</v>
      </c>
      <c r="H73" s="6">
        <v>40800</v>
      </c>
      <c r="I73" s="6">
        <v>10600</v>
      </c>
    </row>
    <row r="74" spans="1:9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7">
        <v>1882</v>
      </c>
      <c r="H74" s="6">
        <v>2350</v>
      </c>
      <c r="I74" s="6">
        <v>1240</v>
      </c>
    </row>
    <row r="75" spans="1:9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7">
        <v>2038</v>
      </c>
      <c r="H75" s="6">
        <v>51300</v>
      </c>
      <c r="I75" s="6">
        <v>19900</v>
      </c>
    </row>
    <row r="76" spans="1:9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7">
        <v>1807</v>
      </c>
      <c r="H76" s="6">
        <v>1830</v>
      </c>
      <c r="I76" s="6">
        <v>1170</v>
      </c>
    </row>
    <row r="77" spans="1:9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7">
        <v>2091</v>
      </c>
      <c r="H77" s="6">
        <v>71100</v>
      </c>
      <c r="I77" s="6">
        <v>43100</v>
      </c>
    </row>
    <row r="78" spans="1:9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7">
        <v>1949</v>
      </c>
      <c r="H78" s="6">
        <v>3870</v>
      </c>
      <c r="I78" s="6">
        <v>1410</v>
      </c>
    </row>
    <row r="79" spans="1:9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7">
        <v>2073</v>
      </c>
      <c r="H79" s="6">
        <v>62200</v>
      </c>
      <c r="I79" s="6">
        <v>34300</v>
      </c>
    </row>
    <row r="80" spans="1:9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7">
        <v>2037</v>
      </c>
      <c r="H80" s="6">
        <v>50600</v>
      </c>
      <c r="I80" s="6">
        <v>19400</v>
      </c>
    </row>
    <row r="81" spans="1:9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7">
        <v>1908</v>
      </c>
      <c r="H81" s="6">
        <v>3270</v>
      </c>
      <c r="I81" s="6">
        <v>1540</v>
      </c>
    </row>
    <row r="82" spans="1:9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7">
        <v>1806</v>
      </c>
      <c r="H82" s="6">
        <v>1830</v>
      </c>
      <c r="I82" s="6">
        <v>1170</v>
      </c>
    </row>
    <row r="83" spans="1:9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7">
        <v>1937</v>
      </c>
      <c r="H83" s="6">
        <v>5660</v>
      </c>
      <c r="I83" s="6">
        <v>1510</v>
      </c>
    </row>
    <row r="84" spans="1:9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7">
        <v>1886</v>
      </c>
      <c r="H84" s="6">
        <v>2540</v>
      </c>
      <c r="I84" s="6">
        <v>1280</v>
      </c>
    </row>
    <row r="85" spans="1:9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7">
        <v>1997</v>
      </c>
      <c r="H85" s="6">
        <v>37800</v>
      </c>
      <c r="I85" s="6">
        <v>3270</v>
      </c>
    </row>
    <row r="86" spans="1:9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7">
        <v>1823</v>
      </c>
      <c r="H86" s="6">
        <v>1850</v>
      </c>
      <c r="I86" s="6">
        <v>1160</v>
      </c>
    </row>
    <row r="87" spans="1:9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7">
        <v>1828</v>
      </c>
      <c r="H87" s="6">
        <v>1880</v>
      </c>
      <c r="I87" s="6">
        <v>1160</v>
      </c>
    </row>
    <row r="88" spans="1:9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7">
        <v>1811</v>
      </c>
      <c r="H88" s="6">
        <v>1830</v>
      </c>
      <c r="I88" s="6">
        <v>1170</v>
      </c>
    </row>
    <row r="89" spans="1:9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7">
        <v>1980</v>
      </c>
      <c r="H89" s="6">
        <v>25200</v>
      </c>
      <c r="I89" s="6">
        <v>1560</v>
      </c>
    </row>
    <row r="90" spans="1:9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7">
        <v>2014</v>
      </c>
      <c r="H90" s="6">
        <v>39700</v>
      </c>
      <c r="I90" s="6">
        <v>7640</v>
      </c>
    </row>
    <row r="91" spans="1:9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7">
        <v>1837</v>
      </c>
      <c r="H91" s="6">
        <v>1930</v>
      </c>
      <c r="I91" s="6">
        <v>1150</v>
      </c>
    </row>
    <row r="92" spans="1:9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7">
        <v>1871</v>
      </c>
      <c r="H92" s="6">
        <v>2200</v>
      </c>
      <c r="I92" s="6">
        <v>1130</v>
      </c>
    </row>
    <row r="93" spans="1:9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7">
        <v>1900</v>
      </c>
      <c r="H93" s="6">
        <v>2950</v>
      </c>
      <c r="I93" s="6">
        <v>1440</v>
      </c>
    </row>
    <row r="94" spans="1:9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7">
        <v>2054</v>
      </c>
      <c r="H94" s="6">
        <v>59400</v>
      </c>
      <c r="I94" s="6">
        <v>26300</v>
      </c>
    </row>
    <row r="95" spans="1:9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7">
        <v>1906</v>
      </c>
      <c r="H95" s="6">
        <v>3230</v>
      </c>
      <c r="I95" s="6">
        <v>1520</v>
      </c>
    </row>
    <row r="96" spans="1:9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7">
        <v>1904</v>
      </c>
      <c r="H96" s="6">
        <v>3020</v>
      </c>
      <c r="I96" s="6">
        <v>1490</v>
      </c>
    </row>
    <row r="97" spans="1:9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7">
        <v>2001</v>
      </c>
      <c r="H97" s="6">
        <v>37500</v>
      </c>
      <c r="I97" s="6">
        <v>3900</v>
      </c>
    </row>
    <row r="98" spans="1:9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7">
        <v>2042</v>
      </c>
      <c r="H98" s="6">
        <v>53000</v>
      </c>
      <c r="I98" s="6">
        <v>21700</v>
      </c>
    </row>
    <row r="99" spans="1:9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7">
        <v>1832</v>
      </c>
      <c r="H99" s="6">
        <v>1900</v>
      </c>
      <c r="I99" s="6">
        <v>1150</v>
      </c>
    </row>
    <row r="100" spans="1:9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7">
        <v>1920</v>
      </c>
      <c r="H100" s="6">
        <v>4130</v>
      </c>
      <c r="I100" s="6">
        <v>1580</v>
      </c>
    </row>
    <row r="101" spans="1:9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7">
        <v>1802</v>
      </c>
      <c r="H101" s="6">
        <v>1830</v>
      </c>
      <c r="I101" s="6">
        <v>1170</v>
      </c>
    </row>
    <row r="102" spans="1:9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9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9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9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9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9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9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9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9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9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9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mergeCells count="5">
    <mergeCell ref="K30:U30"/>
    <mergeCell ref="K2:U2"/>
    <mergeCell ref="K26:L26"/>
    <mergeCell ref="K27:V27"/>
    <mergeCell ref="K29:AA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546E-4282-4805-BBE6-12E69E064F7C}">
  <dimension ref="A1:S302"/>
  <sheetViews>
    <sheetView zoomScale="70" zoomScaleNormal="70" workbookViewId="0">
      <selection activeCell="R68" sqref="R68"/>
    </sheetView>
  </sheetViews>
  <sheetFormatPr defaultRowHeight="14.4" x14ac:dyDescent="0.3"/>
  <cols>
    <col min="1" max="1" width="5.109375" bestFit="1" customWidth="1"/>
    <col min="2" max="2" width="14.77734375" bestFit="1" customWidth="1"/>
    <col min="3" max="3" width="17.6640625" bestFit="1" customWidth="1"/>
    <col min="4" max="4" width="12.44140625" bestFit="1" customWidth="1"/>
    <col min="5" max="5" width="15.44140625" bestFit="1" customWidth="1"/>
    <col min="7" max="7" width="9.44140625" style="10" bestFit="1" customWidth="1"/>
    <col min="8" max="8" width="14.6640625" style="10" bestFit="1" customWidth="1"/>
    <col min="9" max="9" width="13.21875" style="10" bestFit="1" customWidth="1"/>
    <col min="11" max="11" width="26" bestFit="1" customWidth="1"/>
    <col min="12" max="12" width="20.109375" customWidth="1"/>
    <col min="13" max="13" width="13.6640625" bestFit="1" customWidth="1"/>
    <col min="14" max="14" width="13" bestFit="1" customWidth="1"/>
    <col min="15" max="15" width="12.44140625" bestFit="1" customWidth="1"/>
    <col min="16" max="16" width="13.33203125" bestFit="1" customWidth="1"/>
    <col min="17" max="17" width="13.77734375" customWidth="1"/>
    <col min="18" max="18" width="13" bestFit="1" customWidth="1"/>
    <col min="19" max="19" width="12.44140625" bestFit="1" customWidth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36" t="s">
        <v>107</v>
      </c>
      <c r="H1" s="34" t="s">
        <v>105</v>
      </c>
      <c r="I1" s="34" t="s">
        <v>106</v>
      </c>
      <c r="K1" s="108" t="s">
        <v>110</v>
      </c>
      <c r="L1" s="108"/>
      <c r="M1" s="108"/>
      <c r="N1" s="108"/>
      <c r="O1" s="108"/>
    </row>
    <row r="2" spans="1:1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5" t="s">
        <v>4</v>
      </c>
      <c r="H2" s="35" t="s">
        <v>108</v>
      </c>
      <c r="I2" s="35" t="s">
        <v>109</v>
      </c>
    </row>
    <row r="3" spans="1:1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2">
        <v>1990</v>
      </c>
      <c r="H3" s="2">
        <v>66900000.000000007</v>
      </c>
      <c r="I3" s="2">
        <v>2150</v>
      </c>
      <c r="K3" s="108" t="s">
        <v>111</v>
      </c>
      <c r="L3" s="108"/>
      <c r="M3" s="108"/>
      <c r="N3" s="108"/>
    </row>
    <row r="4" spans="1:1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2">
        <v>1991</v>
      </c>
      <c r="H4" s="2">
        <v>68400000</v>
      </c>
      <c r="I4" s="2">
        <v>2220</v>
      </c>
    </row>
    <row r="5" spans="1:1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2">
        <v>1992</v>
      </c>
      <c r="H5" s="2">
        <v>69800000</v>
      </c>
      <c r="I5" s="2">
        <v>2360</v>
      </c>
    </row>
    <row r="6" spans="1:1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2">
        <v>1993</v>
      </c>
      <c r="H6" s="2">
        <v>71200000</v>
      </c>
      <c r="I6" s="2">
        <v>2500</v>
      </c>
    </row>
    <row r="7" spans="1:1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2">
        <v>1994</v>
      </c>
      <c r="H7" s="2">
        <v>72500000</v>
      </c>
      <c r="I7" s="2">
        <v>2660</v>
      </c>
    </row>
    <row r="8" spans="1:1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2">
        <v>1995</v>
      </c>
      <c r="H8" s="2">
        <v>73800000</v>
      </c>
      <c r="I8" s="2">
        <v>2860</v>
      </c>
    </row>
    <row r="9" spans="1:1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2">
        <v>1996</v>
      </c>
      <c r="H9" s="2">
        <v>74900000</v>
      </c>
      <c r="I9" s="2">
        <v>3080</v>
      </c>
    </row>
    <row r="10" spans="1:1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2">
        <v>1997</v>
      </c>
      <c r="H10" s="2">
        <v>76100000</v>
      </c>
      <c r="I10" s="2">
        <v>3270</v>
      </c>
    </row>
    <row r="11" spans="1:1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2">
        <v>1998</v>
      </c>
      <c r="H11" s="2">
        <v>77100000</v>
      </c>
      <c r="I11" s="2">
        <v>3410</v>
      </c>
    </row>
    <row r="12" spans="1:1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2">
        <v>1999</v>
      </c>
      <c r="H12" s="2">
        <v>78100000</v>
      </c>
      <c r="I12" s="2">
        <v>3520</v>
      </c>
    </row>
    <row r="13" spans="1:1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2">
        <v>2000</v>
      </c>
      <c r="H13" s="2">
        <v>79000000</v>
      </c>
      <c r="I13" s="2">
        <v>3710</v>
      </c>
    </row>
    <row r="14" spans="1:1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2">
        <v>2001</v>
      </c>
      <c r="H14" s="2">
        <v>79800000</v>
      </c>
      <c r="I14" s="2">
        <v>3900</v>
      </c>
    </row>
    <row r="15" spans="1:1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2">
        <v>2002</v>
      </c>
      <c r="H15" s="2">
        <v>80600000</v>
      </c>
      <c r="I15" s="2">
        <v>4100</v>
      </c>
    </row>
    <row r="16" spans="1:1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2">
        <v>2003</v>
      </c>
      <c r="H16" s="2">
        <v>81500000</v>
      </c>
      <c r="I16" s="2">
        <v>4340</v>
      </c>
    </row>
    <row r="17" spans="1:1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2">
        <v>2004</v>
      </c>
      <c r="H17" s="2">
        <v>82300000</v>
      </c>
      <c r="I17" s="2">
        <v>4610</v>
      </c>
    </row>
    <row r="18" spans="1:1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2">
        <v>2005</v>
      </c>
      <c r="H18" s="2">
        <v>83100000</v>
      </c>
      <c r="I18" s="2">
        <v>4910</v>
      </c>
    </row>
    <row r="19" spans="1:1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2">
        <v>2006</v>
      </c>
      <c r="H19" s="2">
        <v>84000000</v>
      </c>
      <c r="I19" s="2">
        <v>5190</v>
      </c>
    </row>
    <row r="20" spans="1:1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2">
        <v>2007</v>
      </c>
      <c r="H20" s="2">
        <v>84800000</v>
      </c>
      <c r="I20" s="2">
        <v>5510</v>
      </c>
    </row>
    <row r="21" spans="1:1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2">
        <v>2008</v>
      </c>
      <c r="H21" s="2">
        <v>85600000</v>
      </c>
      <c r="I21" s="2">
        <v>5760</v>
      </c>
    </row>
    <row r="22" spans="1:1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2">
        <v>2009</v>
      </c>
      <c r="H22" s="2">
        <v>86500000</v>
      </c>
      <c r="I22" s="2">
        <v>6010</v>
      </c>
    </row>
    <row r="23" spans="1:1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2">
        <v>2010</v>
      </c>
      <c r="H23" s="2">
        <v>87400000</v>
      </c>
      <c r="I23" s="2">
        <v>6320</v>
      </c>
      <c r="K23" s="108" t="s">
        <v>112</v>
      </c>
      <c r="L23" s="108"/>
      <c r="M23" s="108"/>
      <c r="N23" s="108"/>
      <c r="O23" s="108"/>
    </row>
    <row r="24" spans="1:1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2">
        <v>2011</v>
      </c>
      <c r="H24" s="2">
        <v>88300000</v>
      </c>
      <c r="I24" s="2">
        <v>6660</v>
      </c>
    </row>
    <row r="25" spans="1:1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2">
        <v>2012</v>
      </c>
      <c r="H25" s="2">
        <v>89300000</v>
      </c>
      <c r="I25" s="2">
        <v>6950</v>
      </c>
      <c r="K25" s="34" t="s">
        <v>113</v>
      </c>
      <c r="L25" s="2">
        <f>CORREL(H3:H36,I3:I36)</f>
        <v>0.97109520585652265</v>
      </c>
    </row>
    <row r="26" spans="1:1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2">
        <v>2013</v>
      </c>
      <c r="H26" s="2">
        <v>90300000</v>
      </c>
      <c r="I26" s="2">
        <v>7260</v>
      </c>
    </row>
    <row r="27" spans="1:1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2">
        <v>2014</v>
      </c>
      <c r="H27" s="2">
        <v>91200000</v>
      </c>
      <c r="I27" s="2">
        <v>7640</v>
      </c>
    </row>
    <row r="28" spans="1:1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2">
        <v>2015</v>
      </c>
      <c r="H28" s="2">
        <v>92200000</v>
      </c>
      <c r="I28" s="2">
        <v>8090</v>
      </c>
    </row>
    <row r="29" spans="1:1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2">
        <v>2016</v>
      </c>
      <c r="H29" s="2">
        <v>93100000</v>
      </c>
      <c r="I29" s="2">
        <v>8550</v>
      </c>
      <c r="K29" s="108" t="s">
        <v>114</v>
      </c>
      <c r="L29" s="108"/>
      <c r="M29" s="108"/>
      <c r="N29" s="108"/>
    </row>
    <row r="30" spans="1:1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2">
        <v>2017</v>
      </c>
      <c r="H30" s="2">
        <v>94000000</v>
      </c>
      <c r="I30" s="2">
        <v>9050</v>
      </c>
    </row>
    <row r="31" spans="1:1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2">
        <v>2018</v>
      </c>
      <c r="H31" s="2">
        <v>94900000</v>
      </c>
      <c r="I31" s="2">
        <v>9640</v>
      </c>
      <c r="K31" t="s">
        <v>115</v>
      </c>
    </row>
    <row r="32" spans="1:15" ht="15" thickBot="1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2">
        <v>2019</v>
      </c>
      <c r="H32" s="2">
        <v>95800000</v>
      </c>
      <c r="I32" s="2">
        <v>10300</v>
      </c>
    </row>
    <row r="33" spans="1:19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2">
        <v>2020</v>
      </c>
      <c r="H33" s="2">
        <v>96600000</v>
      </c>
      <c r="I33" s="2">
        <v>10500</v>
      </c>
      <c r="K33" s="39" t="s">
        <v>116</v>
      </c>
      <c r="L33" s="39"/>
    </row>
    <row r="34" spans="1:19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2">
        <v>2021</v>
      </c>
      <c r="H34" s="2">
        <v>97500000</v>
      </c>
      <c r="I34" s="2">
        <v>10600</v>
      </c>
      <c r="K34" t="s">
        <v>117</v>
      </c>
      <c r="L34">
        <v>0.97109520585652276</v>
      </c>
    </row>
    <row r="35" spans="1:19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2">
        <v>2022</v>
      </c>
      <c r="H35" s="2">
        <v>98200000</v>
      </c>
      <c r="I35" s="2">
        <v>11300</v>
      </c>
      <c r="K35" t="s">
        <v>118</v>
      </c>
      <c r="L35">
        <v>0.9430258988375223</v>
      </c>
    </row>
    <row r="36" spans="1:19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2">
        <v>2023</v>
      </c>
      <c r="H36" s="2">
        <v>98900000</v>
      </c>
      <c r="I36" s="2">
        <v>11900</v>
      </c>
      <c r="K36" t="s">
        <v>119</v>
      </c>
      <c r="L36">
        <v>0.94124545817619487</v>
      </c>
    </row>
    <row r="37" spans="1:19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K37" t="s">
        <v>95</v>
      </c>
      <c r="L37">
        <v>713.83887169735408</v>
      </c>
    </row>
    <row r="38" spans="1:19" ht="15" thickBot="1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K38" s="8" t="s">
        <v>42</v>
      </c>
      <c r="L38" s="8">
        <v>34</v>
      </c>
    </row>
    <row r="39" spans="1:19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19" ht="15" thickBot="1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K40" t="s">
        <v>120</v>
      </c>
    </row>
    <row r="41" spans="1:19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K41" s="9"/>
      <c r="L41" s="9" t="s">
        <v>44</v>
      </c>
      <c r="M41" s="9" t="s">
        <v>121</v>
      </c>
      <c r="N41" s="9" t="s">
        <v>122</v>
      </c>
      <c r="O41" s="9" t="s">
        <v>123</v>
      </c>
      <c r="P41" s="9" t="s">
        <v>124</v>
      </c>
    </row>
    <row r="42" spans="1:19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K42" t="s">
        <v>125</v>
      </c>
      <c r="L42">
        <v>1</v>
      </c>
      <c r="M42">
        <v>269896034.20577019</v>
      </c>
      <c r="N42">
        <v>269896034.20577019</v>
      </c>
      <c r="O42">
        <v>529.65870715086805</v>
      </c>
      <c r="P42">
        <v>1.7732993797464916E-21</v>
      </c>
    </row>
    <row r="43" spans="1:19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K43" t="s">
        <v>126</v>
      </c>
      <c r="L43">
        <v>32</v>
      </c>
      <c r="M43">
        <v>16306109.911876848</v>
      </c>
      <c r="N43">
        <v>509565.9347461515</v>
      </c>
    </row>
    <row r="44" spans="1:19" ht="15" thickBot="1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K44" s="8" t="s">
        <v>127</v>
      </c>
      <c r="L44" s="8">
        <v>33</v>
      </c>
      <c r="M44" s="8">
        <v>286202144.11764705</v>
      </c>
      <c r="N44" s="8"/>
      <c r="O44" s="8"/>
      <c r="P44" s="8"/>
    </row>
    <row r="45" spans="1:19" ht="15" thickBot="1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19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K46" s="9"/>
      <c r="L46" s="9" t="s">
        <v>128</v>
      </c>
      <c r="M46" s="9" t="s">
        <v>95</v>
      </c>
      <c r="N46" s="9" t="s">
        <v>45</v>
      </c>
      <c r="O46" s="9" t="s">
        <v>129</v>
      </c>
      <c r="P46" s="9" t="s">
        <v>130</v>
      </c>
      <c r="Q46" s="9" t="s">
        <v>131</v>
      </c>
      <c r="R46" s="9" t="s">
        <v>132</v>
      </c>
      <c r="S46" s="9" t="s">
        <v>133</v>
      </c>
    </row>
    <row r="47" spans="1:19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K47" t="s">
        <v>134</v>
      </c>
      <c r="L47">
        <v>-19969.666054492889</v>
      </c>
      <c r="M47">
        <v>1131.0075336884815</v>
      </c>
      <c r="N47">
        <v>-17.656527883034617</v>
      </c>
      <c r="O47">
        <v>4.6595586764351291E-18</v>
      </c>
      <c r="P47">
        <v>-22273.45301156753</v>
      </c>
      <c r="Q47">
        <v>-17665.879097418248</v>
      </c>
      <c r="R47">
        <v>-22273.45301156753</v>
      </c>
      <c r="S47">
        <v>-17665.879097418248</v>
      </c>
    </row>
    <row r="48" spans="1:19" ht="15" thickBot="1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K48" s="8" t="s">
        <v>135</v>
      </c>
      <c r="L48" s="8">
        <v>3.07224445945022E-4</v>
      </c>
      <c r="M48" s="8">
        <v>1.3349275978780446E-5</v>
      </c>
      <c r="N48" s="8">
        <v>23.014315265739885</v>
      </c>
      <c r="O48" s="8">
        <v>1.773299379746504E-21</v>
      </c>
      <c r="P48" s="8">
        <v>2.8003286059279271E-4</v>
      </c>
      <c r="Q48" s="8">
        <v>3.3441603129725041E-4</v>
      </c>
      <c r="R48" s="8">
        <v>2.8003286059279271E-4</v>
      </c>
      <c r="S48" s="8">
        <v>3.3441603129724998E-4</v>
      </c>
    </row>
    <row r="49" spans="1:13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13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13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13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K52" s="111" t="s">
        <v>167</v>
      </c>
      <c r="L52" s="43" t="s">
        <v>168</v>
      </c>
      <c r="M52" s="44">
        <f>INTERCEPT(I5:I38,H5:H38)</f>
        <v>-21876.642006696169</v>
      </c>
    </row>
    <row r="53" spans="1:13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K53" s="2" t="s">
        <v>136</v>
      </c>
      <c r="L53" s="43" t="s">
        <v>169</v>
      </c>
      <c r="M53" s="44">
        <f>SLOPE(I5:I38,H5:H38)</f>
        <v>3.2858545089219961E-4</v>
      </c>
    </row>
    <row r="54" spans="1:13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13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K55" s="11" t="s">
        <v>137</v>
      </c>
    </row>
    <row r="56" spans="1:13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13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K57" s="40" t="s">
        <v>138</v>
      </c>
      <c r="L57" s="41">
        <v>99000000</v>
      </c>
    </row>
    <row r="58" spans="1:13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K58" s="42" t="s">
        <v>139</v>
      </c>
      <c r="L58" s="41">
        <f>(-19969.6+0.00031*99000000)</f>
        <v>10720.400000000001</v>
      </c>
    </row>
    <row r="59" spans="1:13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13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K60" s="108" t="s">
        <v>140</v>
      </c>
      <c r="L60" s="108"/>
    </row>
    <row r="61" spans="1:13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13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K62" s="109" t="s">
        <v>141</v>
      </c>
      <c r="L62" s="110"/>
    </row>
    <row r="63" spans="1:13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K63" s="109" t="s">
        <v>142</v>
      </c>
      <c r="L63" s="110"/>
    </row>
    <row r="64" spans="1:13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K64" s="43" t="s">
        <v>143</v>
      </c>
      <c r="L64" s="44">
        <v>0.05</v>
      </c>
    </row>
    <row r="65" spans="1:17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K65" s="45" t="s">
        <v>144</v>
      </c>
      <c r="L65" s="44">
        <v>32</v>
      </c>
    </row>
    <row r="66" spans="1:17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K66" s="45" t="s">
        <v>145</v>
      </c>
      <c r="L66" s="44">
        <f>_xlfn.T.INV.2T(L64,L65)</f>
        <v>2.0369333434601011</v>
      </c>
    </row>
    <row r="67" spans="1:17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K67" s="3"/>
      <c r="L67" s="3"/>
    </row>
    <row r="68" spans="1:17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K68" s="43" t="s">
        <v>146</v>
      </c>
      <c r="L68" s="44">
        <f>((L48-0)/M48)</f>
        <v>23.014315265739917</v>
      </c>
    </row>
    <row r="69" spans="1:17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17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K70" s="108" t="s">
        <v>147</v>
      </c>
      <c r="L70" s="108"/>
      <c r="M70" s="108"/>
      <c r="N70" s="108"/>
      <c r="O70" s="108"/>
      <c r="P70" s="108"/>
      <c r="Q70" s="108"/>
    </row>
    <row r="71" spans="1:17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17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17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17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17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17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17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17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17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17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mergeCells count="8">
    <mergeCell ref="K70:Q70"/>
    <mergeCell ref="K1:O1"/>
    <mergeCell ref="K3:N3"/>
    <mergeCell ref="K23:O23"/>
    <mergeCell ref="K29:N29"/>
    <mergeCell ref="K60:L60"/>
    <mergeCell ref="K63:L63"/>
    <mergeCell ref="K62:L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Đạt Nguyễn Hoàng</cp:lastModifiedBy>
  <dcterms:created xsi:type="dcterms:W3CDTF">2015-06-05T18:17:20Z</dcterms:created>
  <dcterms:modified xsi:type="dcterms:W3CDTF">2023-11-08T07:47:38Z</dcterms:modified>
</cp:coreProperties>
</file>