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Susumu\TSRP\ForRocket\"/>
    </mc:Choice>
  </mc:AlternateContent>
  <bookViews>
    <workbookView xWindow="0" yWindow="0" windowWidth="19245" windowHeight="7275" activeTab="3"/>
  </bookViews>
  <sheets>
    <sheet name="programsheet" sheetId="4" r:id="rId1"/>
    <sheet name="諸元" sheetId="1" r:id="rId2"/>
    <sheet name="射場環境データ" sheetId="3" r:id="rId3"/>
    <sheet name="空力設計(設計)_後退翼" sheetId="16" r:id="rId4"/>
    <sheet name="重心測定" sheetId="7" r:id="rId5"/>
    <sheet name="空力設計(実測)_後退翼" sheetId="22" r:id="rId6"/>
    <sheet name="空力設計(設計)_台形翼" sheetId="23" r:id="rId7"/>
  </sheets>
  <calcPr calcId="171027"/>
</workbook>
</file>

<file path=xl/calcChain.xml><?xml version="1.0" encoding="utf-8"?>
<calcChain xmlns="http://schemas.openxmlformats.org/spreadsheetml/2006/main">
  <c r="S4" i="16" l="1"/>
  <c r="S3" i="16"/>
  <c r="D7" i="16"/>
  <c r="M37" i="1" l="1"/>
  <c r="M38" i="1"/>
  <c r="F45" i="1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C5" i="7"/>
  <c r="M7" i="1"/>
  <c r="M9" i="1"/>
  <c r="M17" i="1"/>
  <c r="C3" i="7" s="1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C18" i="7"/>
  <c r="C17" i="7"/>
  <c r="C22" i="7"/>
  <c r="I25" i="7"/>
  <c r="I30" i="7" s="1"/>
  <c r="I26" i="7"/>
  <c r="I27" i="7" s="1"/>
  <c r="I29" i="7" s="1"/>
  <c r="F25" i="7"/>
  <c r="F26" i="7"/>
  <c r="F30" i="7"/>
  <c r="C25" i="7"/>
  <c r="C30" i="7" s="1"/>
  <c r="C26" i="7"/>
  <c r="I3" i="23"/>
  <c r="S7" i="23" s="1"/>
  <c r="N13" i="23"/>
  <c r="AR18" i="23"/>
  <c r="AR16" i="23"/>
  <c r="AR17" i="23"/>
  <c r="AR19" i="23"/>
  <c r="AS17" i="23"/>
  <c r="AS18" i="23"/>
  <c r="N14" i="23"/>
  <c r="N15" i="23"/>
  <c r="Y29" i="23"/>
  <c r="D46" i="23"/>
  <c r="D54" i="23"/>
  <c r="D55" i="23"/>
  <c r="D56" i="23"/>
  <c r="Y28" i="23"/>
  <c r="Y33" i="23"/>
  <c r="Y35" i="23"/>
  <c r="Y37" i="23"/>
  <c r="I5" i="23"/>
  <c r="S4" i="23"/>
  <c r="S3" i="23"/>
  <c r="D68" i="23"/>
  <c r="D47" i="23"/>
  <c r="AS20" i="23"/>
  <c r="AR20" i="23"/>
  <c r="AR32" i="23"/>
  <c r="AS16" i="23"/>
  <c r="Y39" i="23"/>
  <c r="Y38" i="23"/>
  <c r="AS37" i="23"/>
  <c r="AR37" i="23"/>
  <c r="D13" i="23"/>
  <c r="D7" i="23"/>
  <c r="Y34" i="23"/>
  <c r="AP24" i="23"/>
  <c r="AP25" i="23"/>
  <c r="AO15" i="23"/>
  <c r="AO19" i="23"/>
  <c r="AO18" i="23"/>
  <c r="AO8" i="23"/>
  <c r="AO9" i="23"/>
  <c r="C19" i="7"/>
  <c r="I8" i="22"/>
  <c r="I5" i="22"/>
  <c r="I3" i="22"/>
  <c r="D61" i="22" s="1"/>
  <c r="D46" i="22"/>
  <c r="D54" i="22"/>
  <c r="D55" i="22"/>
  <c r="D56" i="22"/>
  <c r="S3" i="22"/>
  <c r="D68" i="22"/>
  <c r="N14" i="22"/>
  <c r="N16" i="22"/>
  <c r="N17" i="22"/>
  <c r="N20" i="22"/>
  <c r="Y29" i="22"/>
  <c r="Y28" i="22"/>
  <c r="Y33" i="22"/>
  <c r="Y35" i="22"/>
  <c r="Y37" i="22"/>
  <c r="AQ56" i="22"/>
  <c r="N18" i="22"/>
  <c r="S4" i="22"/>
  <c r="N6" i="22"/>
  <c r="AQ55" i="22"/>
  <c r="AQ54" i="22"/>
  <c r="AQ53" i="22"/>
  <c r="AQ52" i="22"/>
  <c r="AQ51" i="22"/>
  <c r="AQ50" i="22"/>
  <c r="AQ49" i="22"/>
  <c r="AQ48" i="22"/>
  <c r="AQ47" i="22"/>
  <c r="D47" i="22"/>
  <c r="AQ46" i="22"/>
  <c r="BF20" i="22"/>
  <c r="BE20" i="22"/>
  <c r="BB36" i="22"/>
  <c r="BB45" i="22"/>
  <c r="AQ45" i="22"/>
  <c r="BF18" i="22"/>
  <c r="BF19" i="22"/>
  <c r="BE18" i="22"/>
  <c r="BE19" i="22"/>
  <c r="BB35" i="22"/>
  <c r="BB44" i="22"/>
  <c r="AQ44" i="22"/>
  <c r="BB34" i="22"/>
  <c r="BB43" i="22"/>
  <c r="AQ43" i="22"/>
  <c r="BF16" i="22"/>
  <c r="BF17" i="22"/>
  <c r="BE16" i="22"/>
  <c r="BE17" i="22"/>
  <c r="BB33" i="22"/>
  <c r="BB42" i="22"/>
  <c r="AQ42" i="22"/>
  <c r="BB32" i="22"/>
  <c r="BB41" i="22"/>
  <c r="AQ41" i="22"/>
  <c r="BB31" i="22"/>
  <c r="BB40" i="22"/>
  <c r="AQ40" i="22"/>
  <c r="AQ39" i="22"/>
  <c r="Y39" i="22"/>
  <c r="AQ38" i="22"/>
  <c r="Y38" i="22"/>
  <c r="BF37" i="22"/>
  <c r="BE37" i="22"/>
  <c r="AQ37" i="22"/>
  <c r="AQ36" i="22"/>
  <c r="AQ35" i="22"/>
  <c r="AQ34" i="22"/>
  <c r="D13" i="22"/>
  <c r="D7" i="22"/>
  <c r="D9" i="22"/>
  <c r="D10" i="22" s="1"/>
  <c r="D14" i="22" s="1"/>
  <c r="S7" i="22"/>
  <c r="S8" i="22" s="1"/>
  <c r="S5" i="22"/>
  <c r="N21" i="22"/>
  <c r="I12" i="22"/>
  <c r="I16" i="22"/>
  <c r="Y34" i="22"/>
  <c r="AQ33" i="22"/>
  <c r="AQ32" i="22"/>
  <c r="AQ31" i="22"/>
  <c r="AQ30" i="22"/>
  <c r="AQ29" i="22"/>
  <c r="AQ28" i="22"/>
  <c r="BB16" i="22"/>
  <c r="BB23" i="22"/>
  <c r="BB27" i="22"/>
  <c r="AQ27" i="22"/>
  <c r="BB26" i="22"/>
  <c r="AQ26" i="22"/>
  <c r="BC24" i="22"/>
  <c r="BC25" i="22"/>
  <c r="BB24" i="22"/>
  <c r="BB25" i="22"/>
  <c r="AQ25" i="22"/>
  <c r="AQ24" i="22"/>
  <c r="AQ23" i="22"/>
  <c r="AQ22" i="22"/>
  <c r="AQ21" i="22"/>
  <c r="AQ20" i="22"/>
  <c r="BB15" i="22"/>
  <c r="BB19" i="22"/>
  <c r="AQ19" i="22"/>
  <c r="BB18" i="22"/>
  <c r="AQ18" i="22"/>
  <c r="BB17" i="22"/>
  <c r="AQ17" i="22"/>
  <c r="AQ15" i="22"/>
  <c r="AQ16" i="22"/>
  <c r="AQ14" i="22"/>
  <c r="AQ13" i="22"/>
  <c r="AQ12" i="22"/>
  <c r="AQ11" i="22"/>
  <c r="AQ10" i="22"/>
  <c r="BB8" i="22"/>
  <c r="BB9" i="22"/>
  <c r="AQ9" i="22"/>
  <c r="AQ8" i="22"/>
  <c r="AQ7" i="22"/>
  <c r="AQ6" i="22"/>
  <c r="AQ5" i="22"/>
  <c r="D46" i="16"/>
  <c r="I3" i="16"/>
  <c r="D9" i="16" s="1"/>
  <c r="D10" i="16" s="1"/>
  <c r="D14" i="16" s="1"/>
  <c r="I5" i="16"/>
  <c r="N14" i="16"/>
  <c r="N16" i="16"/>
  <c r="N17" i="16"/>
  <c r="I4" i="16"/>
  <c r="BF29" i="16" s="1"/>
  <c r="BE18" i="16"/>
  <c r="D54" i="16"/>
  <c r="BB8" i="16"/>
  <c r="BB9" i="16" s="1"/>
  <c r="BB15" i="16"/>
  <c r="BB19" i="16" s="1"/>
  <c r="BC15" i="16"/>
  <c r="BC16" i="16" s="1"/>
  <c r="BC23" i="16" s="1"/>
  <c r="BC27" i="16" s="1"/>
  <c r="BB16" i="16"/>
  <c r="BE16" i="16"/>
  <c r="BF16" i="16"/>
  <c r="BE17" i="16"/>
  <c r="BF17" i="16"/>
  <c r="BF18" i="16"/>
  <c r="BE19" i="16"/>
  <c r="BF19" i="16"/>
  <c r="BE20" i="16"/>
  <c r="BF20" i="16"/>
  <c r="BC24" i="16"/>
  <c r="BC25" i="16"/>
  <c r="BE26" i="16"/>
  <c r="BE39" i="16" s="1"/>
  <c r="N18" i="16"/>
  <c r="BC31" i="16"/>
  <c r="BC40" i="16" s="1"/>
  <c r="BE37" i="16"/>
  <c r="BF37" i="16"/>
  <c r="M8" i="1"/>
  <c r="AQ6" i="16"/>
  <c r="AQ7" i="16"/>
  <c r="AQ8" i="16"/>
  <c r="AQ9" i="16"/>
  <c r="AQ10" i="16"/>
  <c r="AQ11" i="16"/>
  <c r="AQ12" i="16"/>
  <c r="AQ13" i="16"/>
  <c r="AQ14" i="16"/>
  <c r="AQ15" i="16"/>
  <c r="AQ5" i="16"/>
  <c r="AQ16" i="16"/>
  <c r="AQ17" i="16"/>
  <c r="AQ18" i="16"/>
  <c r="AQ19" i="16"/>
  <c r="AQ20" i="16"/>
  <c r="AQ21" i="16"/>
  <c r="AQ22" i="16"/>
  <c r="AQ23" i="16"/>
  <c r="AQ24" i="16"/>
  <c r="AQ25" i="16"/>
  <c r="AQ26" i="16"/>
  <c r="AQ27" i="16"/>
  <c r="AQ28" i="16"/>
  <c r="AQ29" i="16"/>
  <c r="AQ30" i="16"/>
  <c r="AQ31" i="16"/>
  <c r="AQ32" i="16"/>
  <c r="AQ33" i="16"/>
  <c r="AQ34" i="16"/>
  <c r="AQ35" i="16"/>
  <c r="AQ36" i="16"/>
  <c r="AQ37" i="16"/>
  <c r="AQ38" i="16"/>
  <c r="AQ39" i="16"/>
  <c r="AQ40" i="16"/>
  <c r="AQ41" i="16"/>
  <c r="AQ42" i="16"/>
  <c r="AQ43" i="16"/>
  <c r="AQ44" i="16"/>
  <c r="AQ45" i="16"/>
  <c r="AQ46" i="16"/>
  <c r="AQ47" i="16"/>
  <c r="AQ48" i="16"/>
  <c r="AQ49" i="16"/>
  <c r="AQ50" i="16"/>
  <c r="AQ51" i="16"/>
  <c r="AQ52" i="16"/>
  <c r="AQ53" i="16"/>
  <c r="AQ54" i="16"/>
  <c r="AQ55" i="16"/>
  <c r="AQ56" i="16"/>
  <c r="Y28" i="16"/>
  <c r="Y39" i="16"/>
  <c r="D55" i="16"/>
  <c r="D56" i="16"/>
  <c r="D13" i="16"/>
  <c r="D61" i="16"/>
  <c r="I6" i="16"/>
  <c r="M10" i="1"/>
  <c r="M18" i="1"/>
  <c r="M19" i="1"/>
  <c r="M4" i="1"/>
  <c r="D20" i="7"/>
  <c r="B1" i="4"/>
  <c r="A1" i="4"/>
  <c r="D47" i="16"/>
  <c r="D68" i="16"/>
  <c r="D57" i="16"/>
  <c r="D64" i="16" s="1"/>
  <c r="D65" i="16" s="1"/>
  <c r="N20" i="16"/>
  <c r="N21" i="16"/>
  <c r="I12" i="16"/>
  <c r="Y29" i="16"/>
  <c r="Y33" i="16"/>
  <c r="Y34" i="16"/>
  <c r="Y38" i="16"/>
  <c r="Y35" i="16"/>
  <c r="Y37" i="16"/>
  <c r="BB18" i="16" l="1"/>
  <c r="C27" i="7"/>
  <c r="C29" i="7" s="1"/>
  <c r="C32" i="7" s="1"/>
  <c r="C33" i="7" s="1"/>
  <c r="I10" i="22" s="1"/>
  <c r="I32" i="7"/>
  <c r="I33" i="7" s="1"/>
  <c r="F27" i="7"/>
  <c r="F29" i="7" s="1"/>
  <c r="F32" i="7" s="1"/>
  <c r="F33" i="7" s="1"/>
  <c r="D9" i="23"/>
  <c r="D10" i="23" s="1"/>
  <c r="D14" i="23" s="1"/>
  <c r="BC17" i="16"/>
  <c r="BC18" i="16" s="1"/>
  <c r="BF26" i="16"/>
  <c r="BC19" i="16"/>
  <c r="S7" i="16"/>
  <c r="S8" i="16" s="1"/>
  <c r="Y30" i="16"/>
  <c r="D69" i="16" s="1"/>
  <c r="AN4" i="16"/>
  <c r="AN5" i="16" s="1"/>
  <c r="AN8" i="16" s="1"/>
  <c r="BC32" i="16"/>
  <c r="BC41" i="16" s="1"/>
  <c r="BC35" i="16"/>
  <c r="BC44" i="16" s="1"/>
  <c r="BC8" i="16"/>
  <c r="BC9" i="16" s="1"/>
  <c r="I13" i="16"/>
  <c r="I14" i="16" s="1"/>
  <c r="BF33" i="16"/>
  <c r="BF30" i="16"/>
  <c r="J11" i="7"/>
  <c r="J13" i="7"/>
  <c r="D17" i="7"/>
  <c r="J12" i="7"/>
  <c r="J14" i="7"/>
  <c r="J10" i="7"/>
  <c r="Y31" i="16"/>
  <c r="AN12" i="16" s="1"/>
  <c r="AR12" i="16" s="1"/>
  <c r="AT12" i="16" s="1"/>
  <c r="AU12" i="16" s="1"/>
  <c r="Y6" i="16"/>
  <c r="BE36" i="16"/>
  <c r="BE41" i="16" s="1"/>
  <c r="BE27" i="16"/>
  <c r="BC26" i="16"/>
  <c r="BC34" i="16"/>
  <c r="BC43" i="16" s="1"/>
  <c r="BC33" i="16"/>
  <c r="BC42" i="16" s="1"/>
  <c r="I6" i="22"/>
  <c r="D58" i="16"/>
  <c r="D67" i="16" s="1"/>
  <c r="D71" i="16" s="1"/>
  <c r="D73" i="16" s="1"/>
  <c r="M15" i="1"/>
  <c r="BC36" i="16"/>
  <c r="BC45" i="16" s="1"/>
  <c r="D35" i="7"/>
  <c r="I9" i="22"/>
  <c r="M13" i="1"/>
  <c r="M14" i="1"/>
  <c r="AR31" i="16"/>
  <c r="AR23" i="16"/>
  <c r="AR53" i="16"/>
  <c r="AR27" i="16"/>
  <c r="AR38" i="16"/>
  <c r="AR37" i="16"/>
  <c r="AR39" i="16"/>
  <c r="AR22" i="16"/>
  <c r="AR17" i="16"/>
  <c r="AR35" i="16"/>
  <c r="AR52" i="16"/>
  <c r="AR11" i="16"/>
  <c r="AT11" i="16" s="1"/>
  <c r="AU11" i="16" s="1"/>
  <c r="AS8" i="16"/>
  <c r="AR34" i="16"/>
  <c r="AR55" i="16"/>
  <c r="AR56" i="16"/>
  <c r="AR29" i="16"/>
  <c r="AS15" i="16"/>
  <c r="D66" i="16"/>
  <c r="BB23" i="16"/>
  <c r="BB17" i="16"/>
  <c r="BF32" i="16"/>
  <c r="BF42" i="16" s="1"/>
  <c r="BF40" i="16"/>
  <c r="AS10" i="16"/>
  <c r="AR9" i="16"/>
  <c r="AT9" i="16" s="1"/>
  <c r="AU9" i="16" s="1"/>
  <c r="AS11" i="16"/>
  <c r="BF31" i="16"/>
  <c r="N6" i="16"/>
  <c r="S5" i="16"/>
  <c r="S9" i="16" s="1"/>
  <c r="S8" i="23"/>
  <c r="N6" i="23"/>
  <c r="S5" i="23"/>
  <c r="S9" i="23" s="1"/>
  <c r="AO16" i="23"/>
  <c r="I6" i="23"/>
  <c r="I4" i="23"/>
  <c r="D61" i="23"/>
  <c r="D57" i="23"/>
  <c r="D57" i="22"/>
  <c r="I4" i="22"/>
  <c r="S9" i="22"/>
  <c r="I12" i="23"/>
  <c r="BF27" i="16" l="1"/>
  <c r="BF39" i="16"/>
  <c r="BF36" i="16"/>
  <c r="BF41" i="16" s="1"/>
  <c r="AR42" i="16"/>
  <c r="AR47" i="16"/>
  <c r="AR48" i="16"/>
  <c r="AR25" i="16"/>
  <c r="AS6" i="16"/>
  <c r="AN6" i="16"/>
  <c r="AN9" i="16" s="1"/>
  <c r="AR33" i="16"/>
  <c r="AR43" i="16"/>
  <c r="I10" i="16"/>
  <c r="I10" i="23"/>
  <c r="AV9" i="16"/>
  <c r="AR18" i="16"/>
  <c r="AR41" i="16"/>
  <c r="AR51" i="16"/>
  <c r="AR16" i="16"/>
  <c r="AR13" i="16"/>
  <c r="AT13" i="16" s="1"/>
  <c r="AU13" i="16" s="1"/>
  <c r="AR45" i="16"/>
  <c r="Y32" i="16"/>
  <c r="D70" i="16" s="1"/>
  <c r="D72" i="16" s="1"/>
  <c r="D74" i="16" s="1"/>
  <c r="D45" i="16" s="1"/>
  <c r="AR40" i="16"/>
  <c r="AR32" i="16"/>
  <c r="AT32" i="16" s="1"/>
  <c r="AU32" i="16" s="1"/>
  <c r="AV32" i="16" s="1"/>
  <c r="AR10" i="16"/>
  <c r="AT10" i="16" s="1"/>
  <c r="AU10" i="16" s="1"/>
  <c r="AR15" i="16"/>
  <c r="AT15" i="16" s="1"/>
  <c r="AR19" i="16"/>
  <c r="AS12" i="16"/>
  <c r="AR7" i="16"/>
  <c r="AT7" i="16" s="1"/>
  <c r="AU7" i="16" s="1"/>
  <c r="AR20" i="16"/>
  <c r="AS13" i="16"/>
  <c r="AR44" i="16"/>
  <c r="AT44" i="16" s="1"/>
  <c r="AU44" i="16" s="1"/>
  <c r="AV44" i="16" s="1"/>
  <c r="AR6" i="16"/>
  <c r="AT6" i="16" s="1"/>
  <c r="AU6" i="16" s="1"/>
  <c r="AR5" i="16"/>
  <c r="AS9" i="16"/>
  <c r="AS7" i="16"/>
  <c r="BE35" i="16"/>
  <c r="BE28" i="16"/>
  <c r="Y9" i="16"/>
  <c r="S16" i="16" s="1"/>
  <c r="I15" i="16"/>
  <c r="AR50" i="16"/>
  <c r="AR24" i="16"/>
  <c r="AR26" i="16"/>
  <c r="AR28" i="16"/>
  <c r="AT28" i="16" s="1"/>
  <c r="AU28" i="16" s="1"/>
  <c r="AV28" i="16" s="1"/>
  <c r="AR46" i="16"/>
  <c r="AR14" i="16"/>
  <c r="AT14" i="16" s="1"/>
  <c r="AU14" i="16" s="1"/>
  <c r="AV14" i="16" s="1"/>
  <c r="AR8" i="16"/>
  <c r="AT8" i="16" s="1"/>
  <c r="AU8" i="16" s="1"/>
  <c r="AV8" i="16" s="1"/>
  <c r="AR36" i="16"/>
  <c r="AT36" i="16" s="1"/>
  <c r="AU36" i="16" s="1"/>
  <c r="AV36" i="16" s="1"/>
  <c r="AR54" i="16"/>
  <c r="AS14" i="16"/>
  <c r="AR21" i="16"/>
  <c r="AT21" i="16" s="1"/>
  <c r="AU21" i="16" s="1"/>
  <c r="AV21" i="16" s="1"/>
  <c r="AR49" i="16"/>
  <c r="AT49" i="16" s="1"/>
  <c r="AU49" i="16" s="1"/>
  <c r="AV49" i="16" s="1"/>
  <c r="AR30" i="16"/>
  <c r="AT54" i="16"/>
  <c r="AU54" i="16" s="1"/>
  <c r="AV54" i="16" s="1"/>
  <c r="AS54" i="16"/>
  <c r="AS21" i="16"/>
  <c r="BE7" i="22"/>
  <c r="S13" i="22"/>
  <c r="AS26" i="23"/>
  <c r="Y31" i="23"/>
  <c r="Y32" i="23" s="1"/>
  <c r="AP31" i="23"/>
  <c r="AP40" i="23" s="1"/>
  <c r="AP15" i="23"/>
  <c r="AR26" i="23"/>
  <c r="AP35" i="23"/>
  <c r="AP44" i="23" s="1"/>
  <c r="AP34" i="23"/>
  <c r="AP43" i="23" s="1"/>
  <c r="AP33" i="23"/>
  <c r="AP42" i="23" s="1"/>
  <c r="Y30" i="23"/>
  <c r="D69" i="23" s="1"/>
  <c r="AP32" i="23"/>
  <c r="AP41" i="23" s="1"/>
  <c r="I13" i="23"/>
  <c r="I14" i="23" s="1"/>
  <c r="AP36" i="23"/>
  <c r="AP45" i="23" s="1"/>
  <c r="Y6" i="23"/>
  <c r="AP8" i="23"/>
  <c r="AP9" i="23" s="1"/>
  <c r="I16" i="23"/>
  <c r="AO32" i="23"/>
  <c r="AO41" i="23" s="1"/>
  <c r="AO35" i="23"/>
  <c r="AO44" i="23" s="1"/>
  <c r="AO31" i="23"/>
  <c r="AO40" i="23" s="1"/>
  <c r="AO36" i="23"/>
  <c r="AO45" i="23" s="1"/>
  <c r="AO34" i="23"/>
  <c r="AO43" i="23" s="1"/>
  <c r="AO33" i="23"/>
  <c r="AO42" i="23" s="1"/>
  <c r="BB32" i="16"/>
  <c r="BB41" i="16" s="1"/>
  <c r="BB31" i="16"/>
  <c r="BB40" i="16" s="1"/>
  <c r="BB35" i="16"/>
  <c r="BB44" i="16" s="1"/>
  <c r="BB36" i="16"/>
  <c r="BB45" i="16" s="1"/>
  <c r="BB33" i="16"/>
  <c r="BB42" i="16" s="1"/>
  <c r="BB34" i="16"/>
  <c r="BB43" i="16" s="1"/>
  <c r="I16" i="16"/>
  <c r="AT40" i="16"/>
  <c r="AU40" i="16" s="1"/>
  <c r="AV40" i="16" s="1"/>
  <c r="AS40" i="16"/>
  <c r="AS29" i="16"/>
  <c r="AT29" i="16"/>
  <c r="AU29" i="16" s="1"/>
  <c r="AV29" i="16" s="1"/>
  <c r="AS56" i="16"/>
  <c r="AT56" i="16"/>
  <c r="AU56" i="16" s="1"/>
  <c r="AV56" i="16" s="1"/>
  <c r="AS34" i="16"/>
  <c r="AT34" i="16"/>
  <c r="AU34" i="16" s="1"/>
  <c r="AV34" i="16" s="1"/>
  <c r="AV11" i="16"/>
  <c r="AT35" i="16"/>
  <c r="AU35" i="16" s="1"/>
  <c r="AV35" i="16" s="1"/>
  <c r="AS35" i="16"/>
  <c r="AT17" i="16"/>
  <c r="AU17" i="16" s="1"/>
  <c r="AV17" i="16" s="1"/>
  <c r="AS17" i="16"/>
  <c r="AS16" i="16" s="1"/>
  <c r="AS39" i="16"/>
  <c r="AT39" i="16"/>
  <c r="AU39" i="16" s="1"/>
  <c r="AV39" i="16" s="1"/>
  <c r="AS33" i="16"/>
  <c r="AT33" i="16"/>
  <c r="AU33" i="16" s="1"/>
  <c r="AV33" i="16" s="1"/>
  <c r="AS38" i="16"/>
  <c r="AT38" i="16"/>
  <c r="AU38" i="16" s="1"/>
  <c r="AV38" i="16" s="1"/>
  <c r="AT43" i="16"/>
  <c r="AU43" i="16" s="1"/>
  <c r="AV43" i="16" s="1"/>
  <c r="AS43" i="16"/>
  <c r="AS53" i="16"/>
  <c r="AT53" i="16"/>
  <c r="AU53" i="16" s="1"/>
  <c r="AV53" i="16" s="1"/>
  <c r="AV12" i="16"/>
  <c r="AT31" i="16"/>
  <c r="AU31" i="16" s="1"/>
  <c r="AV31" i="16" s="1"/>
  <c r="AS31" i="16"/>
  <c r="AT30" i="16"/>
  <c r="AU30" i="16" s="1"/>
  <c r="AV30" i="16" s="1"/>
  <c r="AS30" i="16"/>
  <c r="S11" i="16"/>
  <c r="AS50" i="16"/>
  <c r="AT50" i="16"/>
  <c r="AU50" i="16" s="1"/>
  <c r="AV50" i="16" s="1"/>
  <c r="AT55" i="16"/>
  <c r="AU55" i="16" s="1"/>
  <c r="AV55" i="16" s="1"/>
  <c r="AS55" i="16"/>
  <c r="AS52" i="16"/>
  <c r="AT52" i="16"/>
  <c r="AU52" i="16" s="1"/>
  <c r="AV52" i="16" s="1"/>
  <c r="AS42" i="16"/>
  <c r="AT42" i="16"/>
  <c r="AU42" i="16" s="1"/>
  <c r="AV42" i="16" s="1"/>
  <c r="AS22" i="16"/>
  <c r="AT22" i="16"/>
  <c r="AU22" i="16" s="1"/>
  <c r="AV22" i="16" s="1"/>
  <c r="AT47" i="16"/>
  <c r="AU47" i="16" s="1"/>
  <c r="AV47" i="16" s="1"/>
  <c r="AS47" i="16"/>
  <c r="AS37" i="16"/>
  <c r="AT37" i="16"/>
  <c r="AU37" i="16" s="1"/>
  <c r="AV37" i="16" s="1"/>
  <c r="AT48" i="16"/>
  <c r="AU48" i="16" s="1"/>
  <c r="AV48" i="16" s="1"/>
  <c r="AS48" i="16"/>
  <c r="AS27" i="16"/>
  <c r="AT27" i="16"/>
  <c r="AU27" i="16" s="1"/>
  <c r="AV27" i="16" s="1"/>
  <c r="AT25" i="16"/>
  <c r="AU25" i="16" s="1"/>
  <c r="AV25" i="16" s="1"/>
  <c r="AS25" i="16"/>
  <c r="AT23" i="16"/>
  <c r="AU23" i="16" s="1"/>
  <c r="AV23" i="16" s="1"/>
  <c r="AS23" i="16"/>
  <c r="I9" i="23"/>
  <c r="I9" i="16"/>
  <c r="D64" i="22"/>
  <c r="D65" i="22" s="1"/>
  <c r="D58" i="22"/>
  <c r="D67" i="22" s="1"/>
  <c r="D71" i="22" s="1"/>
  <c r="D73" i="22" s="1"/>
  <c r="AT26" i="16"/>
  <c r="AU26" i="16" s="1"/>
  <c r="AV26" i="16" s="1"/>
  <c r="AS26" i="16"/>
  <c r="AS28" i="16"/>
  <c r="AT46" i="16"/>
  <c r="AU46" i="16" s="1"/>
  <c r="AV46" i="16" s="1"/>
  <c r="AS46" i="16"/>
  <c r="AS36" i="16"/>
  <c r="Y30" i="22"/>
  <c r="D69" i="22" s="1"/>
  <c r="I13" i="22"/>
  <c r="I14" i="22" s="1"/>
  <c r="BC36" i="22"/>
  <c r="BC45" i="22" s="1"/>
  <c r="BF29" i="22"/>
  <c r="BE26" i="22"/>
  <c r="BC33" i="22"/>
  <c r="BC42" i="22" s="1"/>
  <c r="BC32" i="22"/>
  <c r="BC41" i="22" s="1"/>
  <c r="AN4" i="22"/>
  <c r="AN5" i="22" s="1"/>
  <c r="AN8" i="22" s="1"/>
  <c r="Y31" i="22"/>
  <c r="BC35" i="22"/>
  <c r="BC44" i="22" s="1"/>
  <c r="BF26" i="22"/>
  <c r="AN6" i="22"/>
  <c r="BC34" i="22"/>
  <c r="BC43" i="22" s="1"/>
  <c r="BC15" i="22"/>
  <c r="BC8" i="22"/>
  <c r="BC9" i="22" s="1"/>
  <c r="Y6" i="22"/>
  <c r="BC31" i="22"/>
  <c r="BC40" i="22" s="1"/>
  <c r="D58" i="23"/>
  <c r="D67" i="23" s="1"/>
  <c r="D71" i="23" s="1"/>
  <c r="D73" i="23" s="1"/>
  <c r="D64" i="23"/>
  <c r="D65" i="23" s="1"/>
  <c r="AO23" i="23"/>
  <c r="AO17" i="23"/>
  <c r="BB24" i="16"/>
  <c r="BB25" i="16" s="1"/>
  <c r="BB26" i="16"/>
  <c r="BB27" i="16"/>
  <c r="AT24" i="16"/>
  <c r="AU24" i="16" s="1"/>
  <c r="AV24" i="16" s="1"/>
  <c r="AS24" i="16"/>
  <c r="AV10" i="16"/>
  <c r="AT16" i="16"/>
  <c r="AU16" i="16" s="1"/>
  <c r="AV16" i="16" s="1"/>
  <c r="AU15" i="16"/>
  <c r="AV15" i="16" s="1"/>
  <c r="AS19" i="16"/>
  <c r="AT19" i="16"/>
  <c r="AU19" i="16" s="1"/>
  <c r="AV19" i="16" s="1"/>
  <c r="AV7" i="16"/>
  <c r="AS20" i="16"/>
  <c r="AT20" i="16"/>
  <c r="AU20" i="16" s="1"/>
  <c r="AV20" i="16" s="1"/>
  <c r="AS44" i="16"/>
  <c r="AV6" i="16"/>
  <c r="AT5" i="16"/>
  <c r="AU5" i="16" s="1"/>
  <c r="AV5" i="16" s="1"/>
  <c r="AS5" i="16"/>
  <c r="AV13" i="16"/>
  <c r="C4" i="7"/>
  <c r="I8" i="16"/>
  <c r="I8" i="23"/>
  <c r="BF28" i="16" l="1"/>
  <c r="BF34" i="16" s="1"/>
  <c r="BF35" i="16"/>
  <c r="AS49" i="16"/>
  <c r="S32" i="16"/>
  <c r="AS18" i="16"/>
  <c r="AT18" i="16"/>
  <c r="AU18" i="16" s="1"/>
  <c r="AV18" i="16" s="1"/>
  <c r="AS32" i="16"/>
  <c r="BE34" i="16"/>
  <c r="BE29" i="16"/>
  <c r="AS51" i="16"/>
  <c r="AT51" i="16"/>
  <c r="AU51" i="16" s="1"/>
  <c r="AV51" i="16" s="1"/>
  <c r="AN9" i="22"/>
  <c r="AT45" i="16"/>
  <c r="AU45" i="16" s="1"/>
  <c r="AV45" i="16" s="1"/>
  <c r="AS45" i="16"/>
  <c r="AT41" i="16"/>
  <c r="AU41" i="16" s="1"/>
  <c r="AV41" i="16" s="1"/>
  <c r="AS41" i="16"/>
  <c r="I15" i="23"/>
  <c r="S32" i="23" s="1"/>
  <c r="Y9" i="23"/>
  <c r="S16" i="23" s="1"/>
  <c r="S11" i="23"/>
  <c r="K11" i="7"/>
  <c r="K13" i="7"/>
  <c r="D18" i="7"/>
  <c r="K12" i="7"/>
  <c r="K10" i="7"/>
  <c r="K14" i="7"/>
  <c r="AO26" i="23"/>
  <c r="AO27" i="23"/>
  <c r="AO24" i="23"/>
  <c r="AO25" i="23" s="1"/>
  <c r="BF30" i="22"/>
  <c r="BF33" i="22"/>
  <c r="S13" i="23"/>
  <c r="AR7" i="23"/>
  <c r="D70" i="23"/>
  <c r="D72" i="23" s="1"/>
  <c r="AR39" i="23"/>
  <c r="AR40" i="23" s="1"/>
  <c r="AR27" i="23"/>
  <c r="AR36" i="23"/>
  <c r="AR41" i="23" s="1"/>
  <c r="AR42" i="23" s="1"/>
  <c r="AS39" i="23"/>
  <c r="AS27" i="23"/>
  <c r="AS36" i="23"/>
  <c r="AS41" i="23" s="1"/>
  <c r="AN12" i="22"/>
  <c r="Y32" i="22"/>
  <c r="D70" i="22" s="1"/>
  <c r="D72" i="22" s="1"/>
  <c r="D74" i="22" s="1"/>
  <c r="D45" i="22" s="1"/>
  <c r="S19" i="16"/>
  <c r="S29" i="16"/>
  <c r="S23" i="16"/>
  <c r="BE11" i="16"/>
  <c r="S12" i="16"/>
  <c r="S20" i="16"/>
  <c r="Y5" i="16"/>
  <c r="S24" i="16"/>
  <c r="S25" i="16" s="1"/>
  <c r="S14" i="16"/>
  <c r="S30" i="16"/>
  <c r="S31" i="16" s="1"/>
  <c r="D66" i="23"/>
  <c r="BF39" i="22"/>
  <c r="BF27" i="22"/>
  <c r="BF36" i="22"/>
  <c r="BF41" i="22" s="1"/>
  <c r="D66" i="22"/>
  <c r="AP16" i="23"/>
  <c r="AP19" i="23"/>
  <c r="BE36" i="22"/>
  <c r="BE41" i="22" s="1"/>
  <c r="BE39" i="22"/>
  <c r="BE27" i="22"/>
  <c r="S13" i="16"/>
  <c r="BE7" i="16"/>
  <c r="S26" i="16"/>
  <c r="Y7" i="16" s="1"/>
  <c r="BC19" i="22"/>
  <c r="BC16" i="22"/>
  <c r="I15" i="22"/>
  <c r="Y9" i="22"/>
  <c r="S16" i="22" s="1"/>
  <c r="S11" i="22"/>
  <c r="D74" i="23" l="1"/>
  <c r="D45" i="23" s="1"/>
  <c r="BE33" i="16"/>
  <c r="BE30" i="16"/>
  <c r="S14" i="22"/>
  <c r="S19" i="22"/>
  <c r="BE11" i="22"/>
  <c r="Y5" i="22"/>
  <c r="S12" i="22"/>
  <c r="S29" i="22"/>
  <c r="S24" i="22"/>
  <c r="S25" i="22" s="1"/>
  <c r="S20" i="22"/>
  <c r="S30" i="22"/>
  <c r="S31" i="22" s="1"/>
  <c r="S23" i="22"/>
  <c r="AI23" i="16"/>
  <c r="AI24" i="16" s="1"/>
  <c r="AI33" i="16"/>
  <c r="AI34" i="16" s="1"/>
  <c r="AI30" i="16"/>
  <c r="AI31" i="16" s="1"/>
  <c r="AI26" i="16"/>
  <c r="AI27" i="16" s="1"/>
  <c r="AR56" i="22"/>
  <c r="AR55" i="22"/>
  <c r="AR53" i="22"/>
  <c r="AR51" i="22"/>
  <c r="AR49" i="22"/>
  <c r="AR47" i="22"/>
  <c r="AR43" i="22"/>
  <c r="AR41" i="22"/>
  <c r="AR40" i="22"/>
  <c r="AR39" i="22"/>
  <c r="AR37" i="22"/>
  <c r="AR34" i="22"/>
  <c r="AR42" i="22"/>
  <c r="AR50" i="22"/>
  <c r="AR45" i="22"/>
  <c r="AR31" i="22"/>
  <c r="AR25" i="22"/>
  <c r="AR23" i="22"/>
  <c r="AR21" i="22"/>
  <c r="AR19" i="22"/>
  <c r="AS15" i="22"/>
  <c r="AR12" i="22"/>
  <c r="AT12" i="22" s="1"/>
  <c r="AU12" i="22" s="1"/>
  <c r="AV12" i="22" s="1"/>
  <c r="AS12" i="22"/>
  <c r="AR7" i="22"/>
  <c r="AT7" i="22" s="1"/>
  <c r="AU7" i="22" s="1"/>
  <c r="AV7" i="22" s="1"/>
  <c r="AS7" i="22"/>
  <c r="AR52" i="22"/>
  <c r="AR36" i="22"/>
  <c r="AR32" i="22"/>
  <c r="AR30" i="22"/>
  <c r="AR28" i="22"/>
  <c r="AR17" i="22"/>
  <c r="AR10" i="22"/>
  <c r="AT10" i="22" s="1"/>
  <c r="AU10" i="22" s="1"/>
  <c r="AV10" i="22" s="1"/>
  <c r="AS10" i="22"/>
  <c r="AR5" i="22"/>
  <c r="AR54" i="22"/>
  <c r="AR35" i="22"/>
  <c r="AR27" i="22"/>
  <c r="AR26" i="22"/>
  <c r="AR24" i="22"/>
  <c r="AR22" i="22"/>
  <c r="AR20" i="22"/>
  <c r="AR18" i="22"/>
  <c r="AR13" i="22"/>
  <c r="AT13" i="22" s="1"/>
  <c r="AU13" i="22" s="1"/>
  <c r="AV13" i="22" s="1"/>
  <c r="AS13" i="22"/>
  <c r="AR8" i="22"/>
  <c r="AT8" i="22" s="1"/>
  <c r="AU8" i="22" s="1"/>
  <c r="AV8" i="22" s="1"/>
  <c r="AS8" i="22"/>
  <c r="AR6" i="22"/>
  <c r="AT6" i="22" s="1"/>
  <c r="AU6" i="22" s="1"/>
  <c r="AV6" i="22" s="1"/>
  <c r="AS6" i="22"/>
  <c r="AR38" i="22"/>
  <c r="AR29" i="22"/>
  <c r="AR14" i="22"/>
  <c r="AT14" i="22" s="1"/>
  <c r="AU14" i="22" s="1"/>
  <c r="AV14" i="22" s="1"/>
  <c r="AS11" i="22"/>
  <c r="AS9" i="22"/>
  <c r="AR44" i="22"/>
  <c r="AS14" i="22"/>
  <c r="AR48" i="22"/>
  <c r="AR33" i="22"/>
  <c r="AR16" i="22"/>
  <c r="AR9" i="22"/>
  <c r="AT9" i="22" s="1"/>
  <c r="AU9" i="22" s="1"/>
  <c r="AV9" i="22" s="1"/>
  <c r="AR15" i="22"/>
  <c r="AT15" i="22" s="1"/>
  <c r="AR46" i="22"/>
  <c r="AR11" i="22"/>
  <c r="AT11" i="22" s="1"/>
  <c r="AU11" i="22" s="1"/>
  <c r="AV11" i="22" s="1"/>
  <c r="S26" i="23"/>
  <c r="Y7" i="23" s="1"/>
  <c r="AR28" i="23"/>
  <c r="AR35" i="23"/>
  <c r="S14" i="23"/>
  <c r="AR11" i="23"/>
  <c r="Y5" i="23"/>
  <c r="S19" i="23"/>
  <c r="S23" i="23"/>
  <c r="S24" i="23"/>
  <c r="S25" i="23" s="1"/>
  <c r="S30" i="23"/>
  <c r="S12" i="23"/>
  <c r="S29" i="23"/>
  <c r="S20" i="23"/>
  <c r="S32" i="22"/>
  <c r="S26" i="22"/>
  <c r="Y7" i="22" s="1"/>
  <c r="BE35" i="22"/>
  <c r="BE28" i="22"/>
  <c r="AP17" i="23"/>
  <c r="AP18" i="23" s="1"/>
  <c r="AP23" i="23"/>
  <c r="BF35" i="22"/>
  <c r="BF28" i="22"/>
  <c r="BF34" i="22" s="1"/>
  <c r="BC23" i="22"/>
  <c r="BC17" i="22"/>
  <c r="BC18" i="22" s="1"/>
  <c r="AS35" i="23"/>
  <c r="AS28" i="23"/>
  <c r="BF40" i="22"/>
  <c r="BF32" i="22"/>
  <c r="BF42" i="22" s="1"/>
  <c r="BF31" i="22"/>
  <c r="S31" i="23"/>
  <c r="BE32" i="16" l="1"/>
  <c r="BE42" i="16" s="1"/>
  <c r="BE40" i="16"/>
  <c r="AI26" i="22"/>
  <c r="AI27" i="22" s="1"/>
  <c r="AI33" i="22"/>
  <c r="AI34" i="22" s="1"/>
  <c r="AI23" i="22"/>
  <c r="AI24" i="22" s="1"/>
  <c r="AI30" i="22"/>
  <c r="AI31" i="22" s="1"/>
  <c r="AS37" i="22"/>
  <c r="AT37" i="22"/>
  <c r="AU37" i="22" s="1"/>
  <c r="AV37" i="22" s="1"/>
  <c r="AS53" i="22"/>
  <c r="AT53" i="22"/>
  <c r="AU53" i="22" s="1"/>
  <c r="AV53" i="22" s="1"/>
  <c r="BC27" i="22"/>
  <c r="BC26" i="22"/>
  <c r="AT44" i="22"/>
  <c r="AU44" i="22" s="1"/>
  <c r="AV44" i="22" s="1"/>
  <c r="AS44" i="22"/>
  <c r="AT29" i="22"/>
  <c r="AU29" i="22" s="1"/>
  <c r="AV29" i="22" s="1"/>
  <c r="AS29" i="22"/>
  <c r="AS18" i="22"/>
  <c r="AT18" i="22"/>
  <c r="AU18" i="22" s="1"/>
  <c r="AV18" i="22" s="1"/>
  <c r="AS26" i="22"/>
  <c r="AT26" i="22"/>
  <c r="AU26" i="22" s="1"/>
  <c r="AV26" i="22" s="1"/>
  <c r="AS5" i="22"/>
  <c r="AT5" i="22"/>
  <c r="AU5" i="22" s="1"/>
  <c r="AV5" i="22" s="1"/>
  <c r="AS28" i="22"/>
  <c r="AT28" i="22"/>
  <c r="AU28" i="22" s="1"/>
  <c r="AV28" i="22" s="1"/>
  <c r="AT52" i="22"/>
  <c r="AU52" i="22" s="1"/>
  <c r="AV52" i="22" s="1"/>
  <c r="AS52" i="22"/>
  <c r="AS23" i="22"/>
  <c r="AT23" i="22"/>
  <c r="AU23" i="22" s="1"/>
  <c r="AV23" i="22" s="1"/>
  <c r="AT50" i="22"/>
  <c r="AU50" i="22" s="1"/>
  <c r="AV50" i="22" s="1"/>
  <c r="AS50" i="22"/>
  <c r="AS39" i="22"/>
  <c r="AT39" i="22"/>
  <c r="AU39" i="22" s="1"/>
  <c r="AV39" i="22" s="1"/>
  <c r="AS47" i="22"/>
  <c r="AT47" i="22"/>
  <c r="AU47" i="22" s="1"/>
  <c r="AV47" i="22" s="1"/>
  <c r="AS55" i="22"/>
  <c r="AT55" i="22"/>
  <c r="AU55" i="22" s="1"/>
  <c r="AV55" i="22" s="1"/>
  <c r="AI23" i="23"/>
  <c r="AI24" i="23" s="1"/>
  <c r="AI26" i="23"/>
  <c r="AI27" i="23" s="1"/>
  <c r="AI33" i="23"/>
  <c r="AI34" i="23" s="1"/>
  <c r="AI30" i="23"/>
  <c r="AI31" i="23" s="1"/>
  <c r="AS54" i="22"/>
  <c r="AT54" i="22"/>
  <c r="AU54" i="22" s="1"/>
  <c r="AV54" i="22" s="1"/>
  <c r="AT36" i="22"/>
  <c r="AU36" i="22" s="1"/>
  <c r="AV36" i="22" s="1"/>
  <c r="AS36" i="22"/>
  <c r="AT45" i="22"/>
  <c r="AU45" i="22" s="1"/>
  <c r="AV45" i="22" s="1"/>
  <c r="AS45" i="22"/>
  <c r="AS29" i="23"/>
  <c r="AS34" i="23"/>
  <c r="BE29" i="22"/>
  <c r="BE34" i="22"/>
  <c r="AT46" i="22"/>
  <c r="AU46" i="22" s="1"/>
  <c r="AV46" i="22" s="1"/>
  <c r="AS46" i="22"/>
  <c r="AT33" i="22"/>
  <c r="AU33" i="22" s="1"/>
  <c r="AV33" i="22" s="1"/>
  <c r="AS33" i="22"/>
  <c r="AT38" i="22"/>
  <c r="AU38" i="22" s="1"/>
  <c r="AV38" i="22" s="1"/>
  <c r="AS38" i="22"/>
  <c r="AS20" i="22"/>
  <c r="AT20" i="22"/>
  <c r="AU20" i="22" s="1"/>
  <c r="AV20" i="22" s="1"/>
  <c r="AS27" i="22"/>
  <c r="AT27" i="22"/>
  <c r="AU27" i="22" s="1"/>
  <c r="AV27" i="22" s="1"/>
  <c r="AS30" i="22"/>
  <c r="AT30" i="22"/>
  <c r="AU30" i="22" s="1"/>
  <c r="AV30" i="22" s="1"/>
  <c r="AS25" i="22"/>
  <c r="AT25" i="22"/>
  <c r="AU25" i="22" s="1"/>
  <c r="AV25" i="22" s="1"/>
  <c r="AS42" i="22"/>
  <c r="AT42" i="22"/>
  <c r="AU42" i="22" s="1"/>
  <c r="AV42" i="22" s="1"/>
  <c r="AS40" i="22"/>
  <c r="AT40" i="22"/>
  <c r="AU40" i="22" s="1"/>
  <c r="AV40" i="22" s="1"/>
  <c r="AS49" i="22"/>
  <c r="AT49" i="22"/>
  <c r="AU49" i="22" s="1"/>
  <c r="AV49" i="22" s="1"/>
  <c r="AT56" i="22"/>
  <c r="AU56" i="22" s="1"/>
  <c r="AV56" i="22" s="1"/>
  <c r="AS56" i="22"/>
  <c r="AP27" i="23"/>
  <c r="AP26" i="23"/>
  <c r="AS24" i="22"/>
  <c r="AT24" i="22"/>
  <c r="AU24" i="22" s="1"/>
  <c r="AV24" i="22" s="1"/>
  <c r="AS17" i="22"/>
  <c r="AS16" i="22" s="1"/>
  <c r="AT17" i="22"/>
  <c r="AU17" i="22" s="1"/>
  <c r="AV17" i="22" s="1"/>
  <c r="AS21" i="22"/>
  <c r="AT21" i="22"/>
  <c r="AU21" i="22" s="1"/>
  <c r="AV21" i="22" s="1"/>
  <c r="AS43" i="22"/>
  <c r="AT43" i="22"/>
  <c r="AU43" i="22" s="1"/>
  <c r="AV43" i="22" s="1"/>
  <c r="AR34" i="23"/>
  <c r="AR29" i="23"/>
  <c r="AR33" i="23" s="1"/>
  <c r="AU15" i="22"/>
  <c r="AV15" i="22" s="1"/>
  <c r="AT16" i="22"/>
  <c r="AU16" i="22" s="1"/>
  <c r="AV16" i="22" s="1"/>
  <c r="AT48" i="22"/>
  <c r="AU48" i="22" s="1"/>
  <c r="AV48" i="22" s="1"/>
  <c r="AS48" i="22"/>
  <c r="AS22" i="22"/>
  <c r="AT22" i="22"/>
  <c r="AU22" i="22" s="1"/>
  <c r="AV22" i="22" s="1"/>
  <c r="AT35" i="22"/>
  <c r="AU35" i="22" s="1"/>
  <c r="AV35" i="22" s="1"/>
  <c r="AS35" i="22"/>
  <c r="AS32" i="22"/>
  <c r="AT32" i="22"/>
  <c r="AU32" i="22" s="1"/>
  <c r="AV32" i="22" s="1"/>
  <c r="AS19" i="22"/>
  <c r="AT19" i="22"/>
  <c r="AU19" i="22" s="1"/>
  <c r="AV19" i="22" s="1"/>
  <c r="AS31" i="22"/>
  <c r="AT31" i="22"/>
  <c r="AU31" i="22" s="1"/>
  <c r="AV31" i="22" s="1"/>
  <c r="AS34" i="22"/>
  <c r="AT34" i="22"/>
  <c r="AU34" i="22" s="1"/>
  <c r="AV34" i="22" s="1"/>
  <c r="AS41" i="22"/>
  <c r="AT41" i="22"/>
  <c r="AU41" i="22" s="1"/>
  <c r="AV41" i="22" s="1"/>
  <c r="AS51" i="22"/>
  <c r="AT51" i="22"/>
  <c r="AU51" i="22" s="1"/>
  <c r="AV51" i="22" s="1"/>
  <c r="AS30" i="23" l="1"/>
  <c r="AS33" i="23"/>
  <c r="BE30" i="22"/>
  <c r="BE33" i="22"/>
  <c r="BE32" i="22" l="1"/>
  <c r="BE42" i="22" s="1"/>
  <c r="BE40" i="22"/>
  <c r="AS31" i="23"/>
  <c r="AS32" i="23"/>
  <c r="AS42" i="23" s="1"/>
  <c r="AS40" i="23"/>
</calcChain>
</file>

<file path=xl/sharedStrings.xml><?xml version="1.0" encoding="utf-8"?>
<sst xmlns="http://schemas.openxmlformats.org/spreadsheetml/2006/main" count="1303" uniqueCount="549">
  <si>
    <t>機体依存パラメータ</t>
    <rPh sb="0" eb="2">
      <t>キタイ</t>
    </rPh>
    <rPh sb="2" eb="4">
      <t>イゾン</t>
    </rPh>
    <phoneticPr fontId="2"/>
  </si>
  <si>
    <t>記号</t>
    <rPh sb="0" eb="2">
      <t>キゴウ</t>
    </rPh>
    <phoneticPr fontId="2"/>
  </si>
  <si>
    <t>名称</t>
    <rPh sb="0" eb="2">
      <t>メイショウ</t>
    </rPh>
    <phoneticPr fontId="2"/>
  </si>
  <si>
    <t>単位</t>
    <rPh sb="0" eb="2">
      <t>タンイ</t>
    </rPh>
    <phoneticPr fontId="2"/>
  </si>
  <si>
    <r>
      <t>kg･m</t>
    </r>
    <r>
      <rPr>
        <vertAlign val="superscript"/>
        <sz val="8"/>
        <rFont val="ＭＳ Ｐゴシック"/>
        <family val="3"/>
        <charset val="128"/>
      </rPr>
      <t>2</t>
    </r>
  </si>
  <si>
    <t>全長</t>
    <rPh sb="0" eb="2">
      <t>ゼンチョウ</t>
    </rPh>
    <phoneticPr fontId="2"/>
  </si>
  <si>
    <t>m</t>
  </si>
  <si>
    <t>燃料重心位置</t>
    <rPh sb="0" eb="2">
      <t>ネンリョウ</t>
    </rPh>
    <rPh sb="2" eb="4">
      <t>ジュウシン</t>
    </rPh>
    <rPh sb="4" eb="6">
      <t>イチ</t>
    </rPh>
    <phoneticPr fontId="2"/>
  </si>
  <si>
    <t>機体重心位置</t>
    <rPh sb="0" eb="2">
      <t>キタイ</t>
    </rPh>
    <rPh sb="2" eb="4">
      <t>ジュウシン</t>
    </rPh>
    <rPh sb="4" eb="6">
      <t>イチ</t>
    </rPh>
    <phoneticPr fontId="2"/>
  </si>
  <si>
    <r>
      <t>l</t>
    </r>
    <r>
      <rPr>
        <i/>
        <vertAlign val="subscript"/>
        <sz val="10"/>
        <rFont val="Times New Roman"/>
        <family val="1"/>
      </rPr>
      <t>CP</t>
    </r>
  </si>
  <si>
    <t>圧力中心</t>
    <rPh sb="0" eb="1">
      <t>アツ</t>
    </rPh>
    <rPh sb="1" eb="2">
      <t>リキ</t>
    </rPh>
    <rPh sb="2" eb="4">
      <t>チュウシン</t>
    </rPh>
    <phoneticPr fontId="2"/>
  </si>
  <si>
    <t>kg</t>
  </si>
  <si>
    <r>
      <t>m</t>
    </r>
    <r>
      <rPr>
        <i/>
        <vertAlign val="subscript"/>
        <sz val="10"/>
        <rFont val="Times New Roman"/>
        <family val="1"/>
      </rPr>
      <t>S</t>
    </r>
  </si>
  <si>
    <t>減衰モーメント係数</t>
    <rPh sb="0" eb="2">
      <t>ゲンスイ</t>
    </rPh>
    <rPh sb="7" eb="9">
      <t>ケイスウ</t>
    </rPh>
    <phoneticPr fontId="2"/>
  </si>
  <si>
    <t>-</t>
  </si>
  <si>
    <r>
      <t>C</t>
    </r>
    <r>
      <rPr>
        <i/>
        <vertAlign val="subscript"/>
        <sz val="10"/>
        <rFont val="Times New Roman"/>
        <family val="1"/>
      </rPr>
      <t>D</t>
    </r>
  </si>
  <si>
    <t>抗力係数</t>
    <rPh sb="0" eb="2">
      <t>コウリョク</t>
    </rPh>
    <rPh sb="2" eb="4">
      <t>ケイスウ</t>
    </rPh>
    <phoneticPr fontId="2"/>
  </si>
  <si>
    <r>
      <t>C</t>
    </r>
    <r>
      <rPr>
        <i/>
        <vertAlign val="subscript"/>
        <sz val="10"/>
        <rFont val="Times New Roman"/>
        <family val="1"/>
      </rPr>
      <t>Nα</t>
    </r>
  </si>
  <si>
    <t>法線力係数</t>
    <rPh sb="0" eb="1">
      <t>ホウ</t>
    </rPh>
    <rPh sb="1" eb="2">
      <t>セン</t>
    </rPh>
    <rPh sb="2" eb="3">
      <t>リョク</t>
    </rPh>
    <rPh sb="3" eb="5">
      <t>ケイスウ</t>
    </rPh>
    <phoneticPr fontId="2"/>
  </si>
  <si>
    <t>角度</t>
    <rPh sb="0" eb="2">
      <t>カクド</t>
    </rPh>
    <phoneticPr fontId="2"/>
  </si>
  <si>
    <t>ランチコンディション</t>
  </si>
  <si>
    <t>P</t>
  </si>
  <si>
    <t>大気圧</t>
    <rPh sb="0" eb="3">
      <t>タイキアツ</t>
    </rPh>
    <phoneticPr fontId="2"/>
  </si>
  <si>
    <t xml:space="preserve">kPa </t>
  </si>
  <si>
    <t>T</t>
  </si>
  <si>
    <t>気温</t>
    <rPh sb="0" eb="2">
      <t>キオン</t>
    </rPh>
    <phoneticPr fontId="2"/>
  </si>
  <si>
    <t>℃</t>
  </si>
  <si>
    <t>ρ</t>
  </si>
  <si>
    <t>大気密度</t>
    <rPh sb="0" eb="2">
      <t>タイキ</t>
    </rPh>
    <rPh sb="2" eb="4">
      <t>ミツド</t>
    </rPh>
    <phoneticPr fontId="2"/>
  </si>
  <si>
    <r>
      <t>kg/m</t>
    </r>
    <r>
      <rPr>
        <vertAlign val="superscript"/>
        <sz val="8"/>
        <rFont val="ＭＳ Ｐゴシック"/>
        <family val="3"/>
        <charset val="128"/>
      </rPr>
      <t>3</t>
    </r>
  </si>
  <si>
    <t>g</t>
  </si>
  <si>
    <t>重力加速度</t>
    <rPh sb="0" eb="2">
      <t>ジュウリョク</t>
    </rPh>
    <rPh sb="2" eb="5">
      <t>カソクド</t>
    </rPh>
    <phoneticPr fontId="2"/>
  </si>
  <si>
    <r>
      <t>m/s</t>
    </r>
    <r>
      <rPr>
        <vertAlign val="superscript"/>
        <sz val="8"/>
        <rFont val="ＭＳ Ｐゴシック"/>
        <family val="3"/>
        <charset val="128"/>
      </rPr>
      <t>2</t>
    </r>
  </si>
  <si>
    <t>deg</t>
  </si>
  <si>
    <r>
      <t>Ｗ</t>
    </r>
    <r>
      <rPr>
        <i/>
        <vertAlign val="subscript"/>
        <sz val="10"/>
        <rFont val="ＭＳ Ｐ明朝"/>
        <family val="1"/>
        <charset val="128"/>
      </rPr>
      <t>ｈ</t>
    </r>
  </si>
  <si>
    <t>高度分布係数</t>
    <rPh sb="0" eb="2">
      <t>コウド</t>
    </rPh>
    <rPh sb="2" eb="4">
      <t>ブンプ</t>
    </rPh>
    <rPh sb="4" eb="6">
      <t>ケイスウ</t>
    </rPh>
    <phoneticPr fontId="2"/>
  </si>
  <si>
    <r>
      <t>T</t>
    </r>
    <r>
      <rPr>
        <i/>
        <vertAlign val="subscript"/>
        <sz val="10"/>
        <rFont val="Times New Roman"/>
        <family val="1"/>
      </rPr>
      <t>sepa</t>
    </r>
  </si>
  <si>
    <t>1段目分離信号</t>
    <rPh sb="1" eb="3">
      <t>ダンメ</t>
    </rPh>
    <rPh sb="3" eb="5">
      <t>ブンリ</t>
    </rPh>
    <rPh sb="5" eb="7">
      <t>シンゴウ</t>
    </rPh>
    <phoneticPr fontId="2"/>
  </si>
  <si>
    <t>sec</t>
  </si>
  <si>
    <t>hsepa2</t>
  </si>
  <si>
    <t>2段目分離信号</t>
    <rPh sb="1" eb="3">
      <t>ダンメ</t>
    </rPh>
    <rPh sb="3" eb="5">
      <t>ブンリ</t>
    </rPh>
    <rPh sb="5" eb="7">
      <t>シンゴウ</t>
    </rPh>
    <phoneticPr fontId="2"/>
  </si>
  <si>
    <r>
      <t>θ</t>
    </r>
    <r>
      <rPr>
        <i/>
        <vertAlign val="subscript"/>
        <sz val="10"/>
        <rFont val="Times New Roman"/>
        <family val="1"/>
      </rPr>
      <t>0</t>
    </r>
  </si>
  <si>
    <t>打上角</t>
    <rPh sb="0" eb="2">
      <t>ウチアゲ</t>
    </rPh>
    <rPh sb="2" eb="3">
      <t>カク</t>
    </rPh>
    <phoneticPr fontId="2"/>
  </si>
  <si>
    <t>ψ</t>
  </si>
  <si>
    <r>
      <t>l</t>
    </r>
    <r>
      <rPr>
        <i/>
        <vertAlign val="subscript"/>
        <sz val="10"/>
        <rFont val="Times New Roman"/>
        <family val="1"/>
      </rPr>
      <t>L</t>
    </r>
  </si>
  <si>
    <t>ランチャ長</t>
    <rPh sb="4" eb="5">
      <t>ナガ</t>
    </rPh>
    <phoneticPr fontId="2"/>
  </si>
  <si>
    <t>慣性モーメントRoll</t>
    <rPh sb="0" eb="2">
      <t>カンセイ</t>
    </rPh>
    <phoneticPr fontId="2"/>
  </si>
  <si>
    <t>酸化剤重心位置</t>
    <rPh sb="0" eb="3">
      <t>サンカザイ</t>
    </rPh>
    <rPh sb="3" eb="5">
      <t>ジュウシン</t>
    </rPh>
    <rPh sb="5" eb="7">
      <t>イチ</t>
    </rPh>
    <phoneticPr fontId="2"/>
  </si>
  <si>
    <r>
      <t>m</t>
    </r>
    <r>
      <rPr>
        <i/>
        <sz val="8"/>
        <rFont val="Times New Roman"/>
        <family val="1"/>
      </rPr>
      <t>ox</t>
    </r>
    <phoneticPr fontId="13"/>
  </si>
  <si>
    <t>m</t>
    <phoneticPr fontId="13"/>
  </si>
  <si>
    <r>
      <t>m</t>
    </r>
    <r>
      <rPr>
        <i/>
        <sz val="8"/>
        <rFont val="Times New Roman"/>
        <family val="1"/>
      </rPr>
      <t>fuel</t>
    </r>
    <phoneticPr fontId="13"/>
  </si>
  <si>
    <t>酸化剤質量</t>
    <rPh sb="0" eb="3">
      <t>サンカザイ</t>
    </rPh>
    <rPh sb="3" eb="5">
      <t>シツリョウ</t>
    </rPh>
    <phoneticPr fontId="2"/>
  </si>
  <si>
    <t>酸化剤質量流量</t>
    <rPh sb="0" eb="3">
      <t>サンカザイ</t>
    </rPh>
    <rPh sb="3" eb="5">
      <t>シツリョウ</t>
    </rPh>
    <rPh sb="5" eb="7">
      <t>リュウリョウ</t>
    </rPh>
    <phoneticPr fontId="2"/>
  </si>
  <si>
    <t>燃料質量流量</t>
    <rPh sb="0" eb="2">
      <t>ネンリョウ</t>
    </rPh>
    <rPh sb="2" eb="4">
      <t>シツリョウ</t>
    </rPh>
    <phoneticPr fontId="2"/>
  </si>
  <si>
    <t>kg/s</t>
    <phoneticPr fontId="13"/>
  </si>
  <si>
    <t>deg</t>
    <phoneticPr fontId="13"/>
  </si>
  <si>
    <t>-</t>
    <phoneticPr fontId="13"/>
  </si>
  <si>
    <t>変数</t>
    <rPh sb="0" eb="2">
      <t>ヘンスウ</t>
    </rPh>
    <phoneticPr fontId="13"/>
  </si>
  <si>
    <r>
      <t>l</t>
    </r>
    <r>
      <rPr>
        <i/>
        <vertAlign val="subscript"/>
        <sz val="10"/>
        <rFont val="Times New Roman"/>
        <family val="1"/>
      </rPr>
      <t>CGf</t>
    </r>
    <phoneticPr fontId="13"/>
  </si>
  <si>
    <r>
      <t>l</t>
    </r>
    <r>
      <rPr>
        <i/>
        <vertAlign val="subscript"/>
        <sz val="10"/>
        <rFont val="Times New Roman"/>
        <family val="1"/>
      </rPr>
      <t>CGox</t>
    </r>
    <phoneticPr fontId="13"/>
  </si>
  <si>
    <t>定義</t>
    <rPh sb="0" eb="2">
      <t>テイギ</t>
    </rPh>
    <phoneticPr fontId="13"/>
  </si>
  <si>
    <t>推進剤を除いた機体質量時のノーズコーン先端から機体重心位置までの長さ</t>
    <rPh sb="11" eb="12">
      <t>ジ</t>
    </rPh>
    <rPh sb="19" eb="21">
      <t>センタン</t>
    </rPh>
    <rPh sb="23" eb="25">
      <t>キタイ</t>
    </rPh>
    <rPh sb="25" eb="29">
      <t>ジュウシンイチ</t>
    </rPh>
    <rPh sb="32" eb="33">
      <t>ナガ</t>
    </rPh>
    <phoneticPr fontId="13"/>
  </si>
  <si>
    <t>慣性モーメントPitch・Yaw</t>
    <rPh sb="0" eb="2">
      <t>カンセイ</t>
    </rPh>
    <phoneticPr fontId="2"/>
  </si>
  <si>
    <t>機体直径</t>
    <rPh sb="0" eb="4">
      <t>キタイチョッケイ</t>
    </rPh>
    <phoneticPr fontId="2"/>
  </si>
  <si>
    <r>
      <t>C</t>
    </r>
    <r>
      <rPr>
        <i/>
        <vertAlign val="subscript"/>
        <sz val="10"/>
        <rFont val="Times New Roman"/>
        <family val="1"/>
      </rPr>
      <t>lp</t>
    </r>
    <phoneticPr fontId="13"/>
  </si>
  <si>
    <r>
      <t>C</t>
    </r>
    <r>
      <rPr>
        <i/>
        <vertAlign val="subscript"/>
        <sz val="10"/>
        <rFont val="Times New Roman"/>
        <family val="1"/>
      </rPr>
      <t>mq</t>
    </r>
    <phoneticPr fontId="13"/>
  </si>
  <si>
    <t>数値入力担当</t>
    <rPh sb="0" eb="2">
      <t>スウチ</t>
    </rPh>
    <rPh sb="2" eb="4">
      <t>ニュリョク</t>
    </rPh>
    <rPh sb="4" eb="6">
      <t>タントウ</t>
    </rPh>
    <phoneticPr fontId="13"/>
  </si>
  <si>
    <t>機体設計担当</t>
    <rPh sb="0" eb="2">
      <t>キタイ</t>
    </rPh>
    <rPh sb="2" eb="4">
      <t>セッケイ</t>
    </rPh>
    <rPh sb="4" eb="6">
      <t>タントウ</t>
    </rPh>
    <phoneticPr fontId="13"/>
  </si>
  <si>
    <t>空力設計担当</t>
    <rPh sb="0" eb="4">
      <t>クウリキセッケイ</t>
    </rPh>
    <rPh sb="4" eb="6">
      <t>タントウ</t>
    </rPh>
    <phoneticPr fontId="13"/>
  </si>
  <si>
    <t>シミュレーション担当</t>
    <rPh sb="8" eb="10">
      <t>タントウ</t>
    </rPh>
    <phoneticPr fontId="13"/>
  </si>
  <si>
    <t>ピッチ・ヨー減衰モーメント係数（空力設計から求めた数値）＜0</t>
    <rPh sb="6" eb="8">
      <t>ゲンスイ</t>
    </rPh>
    <rPh sb="13" eb="15">
      <t>ケイスウ</t>
    </rPh>
    <rPh sb="25" eb="27">
      <t>スウチ</t>
    </rPh>
    <phoneticPr fontId="13"/>
  </si>
  <si>
    <t>ロール減衰モーメント係数（空力設計から求めた数値）＜0</t>
    <rPh sb="3" eb="5">
      <t>ゲンスイ</t>
    </rPh>
    <rPh sb="10" eb="12">
      <t>ケイスウ</t>
    </rPh>
    <rPh sb="22" eb="24">
      <t>スウチ</t>
    </rPh>
    <phoneticPr fontId="13"/>
  </si>
  <si>
    <t>ノーズコーン先端から圧力中心位置までの長さ（空力設計から求めた数値）</t>
    <rPh sb="10" eb="16">
      <t>アツリョクチュウシンイチ</t>
    </rPh>
    <rPh sb="19" eb="20">
      <t>ナガ</t>
    </rPh>
    <rPh sb="31" eb="33">
      <t>スウチ</t>
    </rPh>
    <phoneticPr fontId="13"/>
  </si>
  <si>
    <t>抗力係数（空力設計，風洞試験から求めた数値）</t>
    <rPh sb="0" eb="2">
      <t>コウリョク</t>
    </rPh>
    <rPh sb="2" eb="4">
      <t>ケイスウ</t>
    </rPh>
    <rPh sb="10" eb="12">
      <t>フウドウ</t>
    </rPh>
    <rPh sb="12" eb="14">
      <t>シケン</t>
    </rPh>
    <rPh sb="16" eb="17">
      <t>モト</t>
    </rPh>
    <rPh sb="19" eb="21">
      <t>スウチ</t>
    </rPh>
    <phoneticPr fontId="13"/>
  </si>
  <si>
    <t>法線力係数（空力設計から求めた数値）</t>
    <rPh sb="0" eb="2">
      <t>ホウセン</t>
    </rPh>
    <rPh sb="2" eb="3">
      <t>リョク</t>
    </rPh>
    <rPh sb="3" eb="5">
      <t>ケイスウ</t>
    </rPh>
    <rPh sb="12" eb="13">
      <t>モト</t>
    </rPh>
    <rPh sb="15" eb="17">
      <t>スウチ</t>
    </rPh>
    <phoneticPr fontId="13"/>
  </si>
  <si>
    <t>スピン制御（空力設計，風洞試験から求めた数値）</t>
    <rPh sb="3" eb="5">
      <t>セイギョ</t>
    </rPh>
    <rPh sb="11" eb="13">
      <t>フウドウ</t>
    </rPh>
    <rPh sb="13" eb="15">
      <t>シケン</t>
    </rPh>
    <rPh sb="17" eb="18">
      <t>モト</t>
    </rPh>
    <rPh sb="20" eb="22">
      <t>スウチ</t>
    </rPh>
    <phoneticPr fontId="13"/>
  </si>
  <si>
    <t>液化状態のN2O酸化剤質量</t>
    <rPh sb="0" eb="2">
      <t>エキカ</t>
    </rPh>
    <rPh sb="2" eb="4">
      <t>ジョウタイ</t>
    </rPh>
    <rPh sb="8" eb="13">
      <t>サンカザイシツリョウ</t>
    </rPh>
    <phoneticPr fontId="13"/>
  </si>
  <si>
    <t>N2O酸化剤平均質量流量（実験から求めた数値）</t>
    <rPh sb="3" eb="6">
      <t>サンカザイ</t>
    </rPh>
    <rPh sb="6" eb="8">
      <t>ヘイキン</t>
    </rPh>
    <rPh sb="8" eb="10">
      <t>シツリョウ</t>
    </rPh>
    <rPh sb="10" eb="12">
      <t>リュウリョウ</t>
    </rPh>
    <rPh sb="13" eb="15">
      <t>ジッケン</t>
    </rPh>
    <rPh sb="17" eb="18">
      <t>モト</t>
    </rPh>
    <rPh sb="20" eb="22">
      <t>スウチ</t>
    </rPh>
    <phoneticPr fontId="13"/>
  </si>
  <si>
    <t>地上大気圧（基本１atm）</t>
    <rPh sb="0" eb="2">
      <t>チジョウ</t>
    </rPh>
    <rPh sb="2" eb="5">
      <t>タイキアツ</t>
    </rPh>
    <rPh sb="6" eb="8">
      <t>キホン</t>
    </rPh>
    <phoneticPr fontId="13"/>
  </si>
  <si>
    <t>ρ=P/RT  P:大気圧，R:気体定数，T:気温（K)</t>
    <rPh sb="10" eb="13">
      <t>タイキアツ</t>
    </rPh>
    <rPh sb="16" eb="20">
      <t>キタイジョウスウ</t>
    </rPh>
    <rPh sb="23" eb="25">
      <t>キオン</t>
    </rPh>
    <phoneticPr fontId="13"/>
  </si>
  <si>
    <t>能代浅内射場：4～4.5～5，能代海打ち射場：6.0，大樹町陸打ち：7.4</t>
    <rPh sb="0" eb="2">
      <t>ノシロ</t>
    </rPh>
    <rPh sb="2" eb="4">
      <t>アサナイ</t>
    </rPh>
    <rPh sb="4" eb="6">
      <t>シャジョウ</t>
    </rPh>
    <rPh sb="15" eb="17">
      <t>ノシロ</t>
    </rPh>
    <rPh sb="17" eb="19">
      <t>ウミウ</t>
    </rPh>
    <rPh sb="20" eb="22">
      <t>シャジョウ</t>
    </rPh>
    <rPh sb="27" eb="30">
      <t>タイキチョウ</t>
    </rPh>
    <rPh sb="30" eb="32">
      <t>リクウ</t>
    </rPh>
    <phoneticPr fontId="13"/>
  </si>
  <si>
    <t>打上角</t>
    <rPh sb="0" eb="2">
      <t>ウチアゲ</t>
    </rPh>
    <rPh sb="2" eb="3">
      <t>カク</t>
    </rPh>
    <phoneticPr fontId="13"/>
  </si>
  <si>
    <r>
      <t>I</t>
    </r>
    <r>
      <rPr>
        <i/>
        <vertAlign val="subscript"/>
        <sz val="10"/>
        <rFont val="Times New Roman"/>
        <family val="1"/>
      </rPr>
      <t>pitch</t>
    </r>
    <phoneticPr fontId="13"/>
  </si>
  <si>
    <r>
      <t>I</t>
    </r>
    <r>
      <rPr>
        <i/>
        <vertAlign val="subscript"/>
        <sz val="10"/>
        <rFont val="Times New Roman"/>
        <family val="1"/>
      </rPr>
      <t>roll</t>
    </r>
    <phoneticPr fontId="13"/>
  </si>
  <si>
    <t>地上気温（5m)</t>
    <rPh sb="0" eb="2">
      <t>チジョウ</t>
    </rPh>
    <rPh sb="2" eb="4">
      <t>キオン</t>
    </rPh>
    <phoneticPr fontId="13"/>
  </si>
  <si>
    <t>備考</t>
    <rPh sb="0" eb="2">
      <t>ビコウ</t>
    </rPh>
    <phoneticPr fontId="13"/>
  </si>
  <si>
    <t>担当者名</t>
    <rPh sb="0" eb="3">
      <t>タントウシャ</t>
    </rPh>
    <rPh sb="3" eb="4">
      <t>メイ</t>
    </rPh>
    <phoneticPr fontId="13"/>
  </si>
  <si>
    <t>燃料平均質量流量（実験から求めた数値）</t>
    <rPh sb="0" eb="2">
      <t>ネンリョウ</t>
    </rPh>
    <rPh sb="2" eb="4">
      <t>ヘイキン</t>
    </rPh>
    <rPh sb="4" eb="6">
      <t>シツリョウ</t>
    </rPh>
    <rPh sb="6" eb="8">
      <t>リュウリョウ</t>
    </rPh>
    <rPh sb="9" eb="11">
      <t>ジッケン</t>
    </rPh>
    <rPh sb="13" eb="14">
      <t>モト</t>
    </rPh>
    <rPh sb="16" eb="18">
      <t>スウチ</t>
    </rPh>
    <phoneticPr fontId="13"/>
  </si>
  <si>
    <t>p</t>
    <phoneticPr fontId="13"/>
  </si>
  <si>
    <t>イベント名：例えばインテグとか，DR0とか書きたいこと</t>
    <rPh sb="4" eb="5">
      <t>メイ</t>
    </rPh>
    <rPh sb="6" eb="7">
      <t>タト</t>
    </rPh>
    <rPh sb="21" eb="22">
      <t>カ</t>
    </rPh>
    <phoneticPr fontId="13"/>
  </si>
  <si>
    <t>設計値か実測値か</t>
    <rPh sb="0" eb="2">
      <t>セッケイ</t>
    </rPh>
    <rPh sb="2" eb="3">
      <t>チ</t>
    </rPh>
    <rPh sb="4" eb="7">
      <t>ジッソクチ</t>
    </rPh>
    <phoneticPr fontId="13"/>
  </si>
  <si>
    <t>地上重力加速度，場所・高度によって変える（別途シート"環境データ集参照")</t>
    <rPh sb="0" eb="2">
      <t>チジョウ</t>
    </rPh>
    <rPh sb="2" eb="7">
      <t>ジュウリョクカソクド</t>
    </rPh>
    <rPh sb="8" eb="10">
      <t>バショ</t>
    </rPh>
    <rPh sb="11" eb="13">
      <t>コウド</t>
    </rPh>
    <rPh sb="17" eb="18">
      <t>カ</t>
    </rPh>
    <rPh sb="21" eb="23">
      <t>ベット</t>
    </rPh>
    <rPh sb="27" eb="29">
      <t>カンキョウ</t>
    </rPh>
    <rPh sb="32" eb="33">
      <t>シュウ</t>
    </rPh>
    <rPh sb="33" eb="35">
      <t>サンショウ</t>
    </rPh>
    <phoneticPr fontId="13"/>
  </si>
  <si>
    <t>重力加速度</t>
    <rPh sb="0" eb="2">
      <t>ジュウリョク</t>
    </rPh>
    <rPh sb="2" eb="5">
      <t>カソクド</t>
    </rPh>
    <phoneticPr fontId="13"/>
  </si>
  <si>
    <t>能代陸打ち射場</t>
    <rPh sb="0" eb="4">
      <t>ノシロリクウ</t>
    </rPh>
    <rPh sb="5" eb="7">
      <t>シャジョウ</t>
    </rPh>
    <phoneticPr fontId="13"/>
  </si>
  <si>
    <t>緯度</t>
    <rPh sb="0" eb="2">
      <t>イド</t>
    </rPh>
    <phoneticPr fontId="13"/>
  </si>
  <si>
    <t>経度</t>
    <rPh sb="0" eb="2">
      <t>ケイド</t>
    </rPh>
    <phoneticPr fontId="13"/>
  </si>
  <si>
    <t>m/s^2</t>
    <phoneticPr fontId="13"/>
  </si>
  <si>
    <t>能代海打ち射場</t>
    <rPh sb="0" eb="2">
      <t>ノシロ</t>
    </rPh>
    <rPh sb="2" eb="3">
      <t>カイ</t>
    </rPh>
    <rPh sb="3" eb="4">
      <t>ウ</t>
    </rPh>
    <rPh sb="5" eb="7">
      <t>シャジョウ</t>
    </rPh>
    <phoneticPr fontId="13"/>
  </si>
  <si>
    <t>大樹町陸打ち射場</t>
    <rPh sb="0" eb="3">
      <t>タイキチョウ</t>
    </rPh>
    <rPh sb="3" eb="4">
      <t>リク</t>
    </rPh>
    <rPh sb="4" eb="5">
      <t>ウ</t>
    </rPh>
    <rPh sb="6" eb="8">
      <t>シャジョウ</t>
    </rPh>
    <phoneticPr fontId="13"/>
  </si>
  <si>
    <t>40゜14′34″.8</t>
  </si>
  <si>
    <t>140゜00′38″.3</t>
  </si>
  <si>
    <t>40゜08′23″.7</t>
  </si>
  <si>
    <t>139゜59′08″.9</t>
  </si>
  <si>
    <t>42゜30′51″.5</t>
  </si>
  <si>
    <t>143゜25′23″.000</t>
  </si>
  <si>
    <t>標高[m]</t>
    <rPh sb="0" eb="2">
      <t>ヒョウコウ</t>
    </rPh>
    <phoneticPr fontId="13"/>
  </si>
  <si>
    <t>地磁気2010.0年より</t>
    <rPh sb="0" eb="3">
      <t>チジキ</t>
    </rPh>
    <rPh sb="9" eb="10">
      <t>ネン</t>
    </rPh>
    <phoneticPr fontId="13"/>
  </si>
  <si>
    <t>大樹町陸打ち射場</t>
    <rPh sb="0" eb="3">
      <t>タイキチョウ</t>
    </rPh>
    <rPh sb="3" eb="5">
      <t>リクウ</t>
    </rPh>
    <rPh sb="6" eb="8">
      <t>シャジョウ</t>
    </rPh>
    <phoneticPr fontId="13"/>
  </si>
  <si>
    <t>緯　度</t>
  </si>
  <si>
    <t>42°30′51″</t>
  </si>
  <si>
    <t>経　度</t>
  </si>
  <si>
    <t>143°26′23″</t>
  </si>
  <si>
    <t>[計算結果]</t>
  </si>
  <si>
    <t>偏　角</t>
  </si>
  <si>
    <t>8 ° 34 ′(西偏)</t>
  </si>
  <si>
    <t>伏　角</t>
  </si>
  <si>
    <t>56 ° 32 ′</t>
  </si>
  <si>
    <t>全 磁 力</t>
  </si>
  <si>
    <t>49088 nT</t>
  </si>
  <si>
    <t>水平分力</t>
  </si>
  <si>
    <t>27074 nT</t>
  </si>
  <si>
    <t>鉛直分力</t>
  </si>
  <si>
    <t>40948 nT</t>
  </si>
  <si>
    <t>能代陸打ち射場</t>
    <rPh sb="0" eb="2">
      <t>ノシロ</t>
    </rPh>
    <rPh sb="2" eb="4">
      <t>リクウ</t>
    </rPh>
    <rPh sb="5" eb="7">
      <t>シャジョウ</t>
    </rPh>
    <phoneticPr fontId="13"/>
  </si>
  <si>
    <t>40°8′24″</t>
  </si>
  <si>
    <t>139°59′9″</t>
  </si>
  <si>
    <t>8 ° 40 ′(西偏)</t>
  </si>
  <si>
    <t>54 ° 41 ′</t>
  </si>
  <si>
    <t>48860 nT</t>
  </si>
  <si>
    <t>28247 nT</t>
  </si>
  <si>
    <t>39867 nT</t>
  </si>
  <si>
    <t>40°14′35″</t>
  </si>
  <si>
    <t>140°0′38″</t>
  </si>
  <si>
    <t>8 ° 39 ′(西偏)</t>
  </si>
  <si>
    <t>54 ° 49 ′</t>
  </si>
  <si>
    <t>48811 nT</t>
  </si>
  <si>
    <t>28125 nT</t>
  </si>
  <si>
    <t>39893 nT</t>
  </si>
  <si>
    <t>すべて国土地理院から2013年10月26日に取得し，更新したデータです．</t>
    <rPh sb="3" eb="8">
      <t>コクドチリイン</t>
    </rPh>
    <rPh sb="22" eb="24">
      <t>シュトク</t>
    </rPh>
    <rPh sb="26" eb="28">
      <t>コウシン</t>
    </rPh>
    <phoneticPr fontId="13"/>
  </si>
  <si>
    <t>レール滑走長（重心が滑走する距離なので実際は1m弱くらい短い）</t>
    <rPh sb="3" eb="5">
      <t>カッソウ</t>
    </rPh>
    <rPh sb="5" eb="6">
      <t>チョウ</t>
    </rPh>
    <rPh sb="7" eb="9">
      <t>ジュウシン</t>
    </rPh>
    <rPh sb="10" eb="12">
      <t>カッソウ</t>
    </rPh>
    <rPh sb="14" eb="16">
      <t>キョリ</t>
    </rPh>
    <rPh sb="19" eb="21">
      <t>ジッサイ</t>
    </rPh>
    <rPh sb="24" eb="25">
      <t>ジャク</t>
    </rPh>
    <rPh sb="28" eb="29">
      <t>ミジカ</t>
    </rPh>
    <phoneticPr fontId="13"/>
  </si>
  <si>
    <t>設計値</t>
    <rPh sb="0" eb="2">
      <t>セッケイ</t>
    </rPh>
    <rPh sb="2" eb="3">
      <t>チ</t>
    </rPh>
    <phoneticPr fontId="13"/>
  </si>
  <si>
    <t>設計値</t>
    <rPh sb="0" eb="3">
      <t>セッケイチ</t>
    </rPh>
    <phoneticPr fontId="13"/>
  </si>
  <si>
    <r>
      <t>l</t>
    </r>
    <r>
      <rPr>
        <i/>
        <vertAlign val="subscript"/>
        <sz val="10"/>
        <rFont val="Times New Roman"/>
        <family val="1"/>
      </rPr>
      <t>tank</t>
    </r>
    <phoneticPr fontId="13"/>
  </si>
  <si>
    <t>タンク長さ</t>
    <rPh sb="3" eb="4">
      <t>ナガ</t>
    </rPh>
    <phoneticPr fontId="2"/>
  </si>
  <si>
    <t>m</t>
    <phoneticPr fontId="13"/>
  </si>
  <si>
    <t>全燃料質量</t>
    <rPh sb="0" eb="1">
      <t>ゼン</t>
    </rPh>
    <rPh sb="1" eb="3">
      <t>ネンリョウ</t>
    </rPh>
    <rPh sb="3" eb="5">
      <t>シツリョウ</t>
    </rPh>
    <phoneticPr fontId="2"/>
  </si>
  <si>
    <t>燃焼前燃料質量</t>
    <rPh sb="0" eb="2">
      <t>ネンショウ</t>
    </rPh>
    <rPh sb="2" eb="3">
      <t>マエ</t>
    </rPh>
    <rPh sb="3" eb="5">
      <t>ネンリョウ</t>
    </rPh>
    <rPh sb="5" eb="7">
      <t>シツリョウ</t>
    </rPh>
    <phoneticPr fontId="13"/>
  </si>
  <si>
    <t>燃焼後燃料質量</t>
    <rPh sb="0" eb="3">
      <t>ネンショウゴ</t>
    </rPh>
    <rPh sb="3" eb="5">
      <t>ネンリョウ</t>
    </rPh>
    <rPh sb="5" eb="7">
      <t>シツリョウ</t>
    </rPh>
    <phoneticPr fontId="13"/>
  </si>
  <si>
    <t>kg</t>
    <phoneticPr fontId="13"/>
  </si>
  <si>
    <r>
      <t>m</t>
    </r>
    <r>
      <rPr>
        <i/>
        <sz val="8"/>
        <rFont val="Times New Roman"/>
        <family val="1"/>
      </rPr>
      <t>fuel,b</t>
    </r>
    <phoneticPr fontId="13"/>
  </si>
  <si>
    <r>
      <t>m</t>
    </r>
    <r>
      <rPr>
        <i/>
        <sz val="8"/>
        <rFont val="Times New Roman"/>
        <family val="1"/>
      </rPr>
      <t>fuel,a</t>
    </r>
    <phoneticPr fontId="13"/>
  </si>
  <si>
    <t>機体空虚質量</t>
    <rPh sb="0" eb="2">
      <t>キタイ</t>
    </rPh>
    <rPh sb="2" eb="4">
      <t>クウキョ</t>
    </rPh>
    <rPh sb="4" eb="6">
      <t>シツリョウ</t>
    </rPh>
    <phoneticPr fontId="2"/>
  </si>
  <si>
    <t>機体最外径</t>
    <rPh sb="0" eb="2">
      <t>キタイ</t>
    </rPh>
    <rPh sb="2" eb="5">
      <t>サイガイケイ</t>
    </rPh>
    <phoneticPr fontId="13"/>
  </si>
  <si>
    <t>ノーズ長さ</t>
    <rPh sb="3" eb="4">
      <t>ナガ</t>
    </rPh>
    <phoneticPr fontId="13"/>
  </si>
  <si>
    <t>mm^2</t>
    <phoneticPr fontId="13"/>
  </si>
  <si>
    <t>mm</t>
    <phoneticPr fontId="13"/>
  </si>
  <si>
    <t>ノーズからフィン付け根先端</t>
    <rPh sb="8" eb="9">
      <t>ツ</t>
    </rPh>
    <rPh sb="10" eb="11">
      <t>ネ</t>
    </rPh>
    <rPh sb="11" eb="13">
      <t>センタン</t>
    </rPh>
    <phoneticPr fontId="13"/>
  </si>
  <si>
    <t>ノーズ表面積</t>
    <rPh sb="3" eb="6">
      <t>ヒョウメンセキ</t>
    </rPh>
    <phoneticPr fontId="13"/>
  </si>
  <si>
    <t>mm</t>
    <phoneticPr fontId="13"/>
  </si>
  <si>
    <t>ノーズコーンのテーパ部(平坦部以外)の長さ</t>
    <rPh sb="10" eb="11">
      <t>ブ</t>
    </rPh>
    <rPh sb="12" eb="14">
      <t>ヘイタン</t>
    </rPh>
    <rPh sb="14" eb="15">
      <t>ブ</t>
    </rPh>
    <rPh sb="15" eb="17">
      <t>イガイ</t>
    </rPh>
    <rPh sb="19" eb="20">
      <t>ナガ</t>
    </rPh>
    <phoneticPr fontId="13"/>
  </si>
  <si>
    <t>上記の濡面積</t>
    <rPh sb="0" eb="2">
      <t>ジョウキ</t>
    </rPh>
    <rPh sb="3" eb="6">
      <t>ヌレメンセキ</t>
    </rPh>
    <phoneticPr fontId="13"/>
  </si>
  <si>
    <t>ノーズ先端からフィン付け根先端の長さ</t>
    <rPh sb="3" eb="5">
      <t>センタン</t>
    </rPh>
    <rPh sb="10" eb="11">
      <t>ツ</t>
    </rPh>
    <rPh sb="12" eb="13">
      <t>ネ</t>
    </rPh>
    <rPh sb="13" eb="15">
      <t>センタン</t>
    </rPh>
    <rPh sb="16" eb="17">
      <t>ナガ</t>
    </rPh>
    <phoneticPr fontId="13"/>
  </si>
  <si>
    <t>モータ担当</t>
    <rPh sb="3" eb="5">
      <t>タントウ</t>
    </rPh>
    <phoneticPr fontId="13"/>
  </si>
  <si>
    <t>ボートテイル直径</t>
    <rPh sb="6" eb="8">
      <t>チョッケイ</t>
    </rPh>
    <phoneticPr fontId="13"/>
  </si>
  <si>
    <t>ボートテイル長さ</t>
    <rPh sb="6" eb="7">
      <t>ナガ</t>
    </rPh>
    <phoneticPr fontId="13"/>
  </si>
  <si>
    <t>mm</t>
    <phoneticPr fontId="13"/>
  </si>
  <si>
    <t>ボートテイル直径下限</t>
    <rPh sb="6" eb="8">
      <t>チョッケイ</t>
    </rPh>
    <rPh sb="8" eb="10">
      <t>カゲン</t>
    </rPh>
    <phoneticPr fontId="13"/>
  </si>
  <si>
    <t>ボートテイル長さ上限</t>
    <rPh sb="6" eb="7">
      <t>ナガ</t>
    </rPh>
    <rPh sb="8" eb="10">
      <t>ジョウゲン</t>
    </rPh>
    <phoneticPr fontId="13"/>
  </si>
  <si>
    <t>燃焼時間</t>
    <rPh sb="0" eb="2">
      <t>ネンショウ</t>
    </rPh>
    <rPh sb="2" eb="4">
      <t>ジカン</t>
    </rPh>
    <phoneticPr fontId="13"/>
  </si>
  <si>
    <t>tb</t>
    <phoneticPr fontId="13"/>
  </si>
  <si>
    <t>sec</t>
    <phoneticPr fontId="13"/>
  </si>
  <si>
    <t>燃焼時間</t>
    <rPh sb="0" eb="4">
      <t>ネンショウジカン</t>
    </rPh>
    <phoneticPr fontId="13"/>
  </si>
  <si>
    <t>Ln</t>
    <phoneticPr fontId="13"/>
  </si>
  <si>
    <t>SAn</t>
    <phoneticPr fontId="13"/>
  </si>
  <si>
    <t>Ln,f</t>
    <phoneticPr fontId="13"/>
  </si>
  <si>
    <t>dbt</t>
    <phoneticPr fontId="13"/>
  </si>
  <si>
    <t>Lbt</t>
    <phoneticPr fontId="13"/>
  </si>
  <si>
    <t>リカバリ担当</t>
    <rPh sb="4" eb="6">
      <t>タントウ</t>
    </rPh>
    <phoneticPr fontId="13"/>
  </si>
  <si>
    <t>空力設計＆抗力係数見積もり用</t>
    <rPh sb="0" eb="4">
      <t>クウリキセッケイ</t>
    </rPh>
    <rPh sb="5" eb="7">
      <t>コウリョク</t>
    </rPh>
    <rPh sb="7" eb="9">
      <t>ケイスウ</t>
    </rPh>
    <rPh sb="9" eb="11">
      <t>ミツ</t>
    </rPh>
    <rPh sb="13" eb="14">
      <t>ヨウ</t>
    </rPh>
    <phoneticPr fontId="13"/>
  </si>
  <si>
    <t>1段目抗力特性</t>
    <rPh sb="1" eb="2">
      <t>ダン</t>
    </rPh>
    <rPh sb="2" eb="3">
      <t>メ</t>
    </rPh>
    <rPh sb="3" eb="5">
      <t>コウリョク</t>
    </rPh>
    <rPh sb="5" eb="7">
      <t>トクセイ</t>
    </rPh>
    <phoneticPr fontId="2"/>
  </si>
  <si>
    <t>2段目抗力特性</t>
    <rPh sb="1" eb="3">
      <t>ダンメ</t>
    </rPh>
    <rPh sb="3" eb="5">
      <t>コウリョク</t>
    </rPh>
    <rPh sb="5" eb="7">
      <t>トクセイ</t>
    </rPh>
    <phoneticPr fontId="2"/>
  </si>
  <si>
    <r>
      <t>C</t>
    </r>
    <r>
      <rPr>
        <i/>
        <vertAlign val="subscript"/>
        <sz val="10"/>
        <rFont val="Times New Roman"/>
        <family val="1"/>
      </rPr>
      <t>D</t>
    </r>
    <r>
      <rPr>
        <i/>
        <sz val="10"/>
        <rFont val="Times New Roman"/>
        <family val="1"/>
      </rPr>
      <t>S</t>
    </r>
    <r>
      <rPr>
        <i/>
        <vertAlign val="subscript"/>
        <sz val="10"/>
        <rFont val="Times New Roman"/>
        <family val="1"/>
      </rPr>
      <t>1</t>
    </r>
    <phoneticPr fontId="13"/>
  </si>
  <si>
    <r>
      <t>C</t>
    </r>
    <r>
      <rPr>
        <i/>
        <vertAlign val="subscript"/>
        <sz val="10"/>
        <rFont val="Times New Roman"/>
        <family val="1"/>
      </rPr>
      <t>D</t>
    </r>
    <r>
      <rPr>
        <i/>
        <sz val="10"/>
        <rFont val="Times New Roman"/>
        <family val="1"/>
      </rPr>
      <t>S</t>
    </r>
    <r>
      <rPr>
        <i/>
        <vertAlign val="subscript"/>
        <sz val="10"/>
        <rFont val="Times New Roman"/>
        <family val="1"/>
      </rPr>
      <t>2</t>
    </r>
    <phoneticPr fontId="13"/>
  </si>
  <si>
    <r>
      <t>m</t>
    </r>
    <r>
      <rPr>
        <vertAlign val="superscript"/>
        <sz val="8"/>
        <rFont val="ＭＳ Ｐゴシック"/>
        <family val="3"/>
        <charset val="128"/>
      </rPr>
      <t>2</t>
    </r>
    <phoneticPr fontId="13"/>
  </si>
  <si>
    <t>2段目分離高度（1段の場合は0と書かないと指定で2段目分離）</t>
    <rPh sb="1" eb="3">
      <t>ダンメ</t>
    </rPh>
    <rPh sb="3" eb="5">
      <t>ブンリ</t>
    </rPh>
    <rPh sb="5" eb="7">
      <t>コウド</t>
    </rPh>
    <rPh sb="9" eb="10">
      <t>ダン</t>
    </rPh>
    <rPh sb="11" eb="13">
      <t>バアイ</t>
    </rPh>
    <rPh sb="16" eb="17">
      <t>カ</t>
    </rPh>
    <rPh sb="21" eb="23">
      <t>シテイ</t>
    </rPh>
    <rPh sb="25" eb="26">
      <t>ダン</t>
    </rPh>
    <rPh sb="26" eb="27">
      <t>メ</t>
    </rPh>
    <rPh sb="27" eb="29">
      <t>ブンリ</t>
    </rPh>
    <phoneticPr fontId="13"/>
  </si>
  <si>
    <t>打ち上げ方位（磁東から反時計回り）</t>
    <rPh sb="0" eb="1">
      <t>ウ</t>
    </rPh>
    <rPh sb="2" eb="3">
      <t>ア</t>
    </rPh>
    <rPh sb="4" eb="6">
      <t>ホウイ</t>
    </rPh>
    <rPh sb="7" eb="8">
      <t>ジ</t>
    </rPh>
    <rPh sb="8" eb="9">
      <t>ヒガシ</t>
    </rPh>
    <rPh sb="11" eb="12">
      <t>ハン</t>
    </rPh>
    <rPh sb="12" eb="15">
      <t>トケイマワ</t>
    </rPh>
    <phoneticPr fontId="13"/>
  </si>
  <si>
    <t>Isp</t>
    <phoneticPr fontId="13"/>
  </si>
  <si>
    <t>比推力</t>
    <rPh sb="0" eb="3">
      <t>ヒスイリョク</t>
    </rPh>
    <phoneticPr fontId="2"/>
  </si>
  <si>
    <t>s</t>
    <phoneticPr fontId="13"/>
  </si>
  <si>
    <t>比推力</t>
    <rPh sb="0" eb="3">
      <t>ヒスイリョク</t>
    </rPh>
    <phoneticPr fontId="13"/>
  </si>
  <si>
    <t>全力積</t>
    <rPh sb="0" eb="3">
      <t>ゼンリキセキ</t>
    </rPh>
    <phoneticPr fontId="13"/>
  </si>
  <si>
    <t>N・s</t>
    <phoneticPr fontId="13"/>
  </si>
  <si>
    <t>トータルインパルス</t>
    <phoneticPr fontId="13"/>
  </si>
  <si>
    <t>It</t>
    <phoneticPr fontId="13"/>
  </si>
  <si>
    <r>
      <t>H</t>
    </r>
    <r>
      <rPr>
        <i/>
        <vertAlign val="subscript"/>
        <sz val="10"/>
        <rFont val="Times New Roman"/>
        <family val="1"/>
      </rPr>
      <t>w</t>
    </r>
    <phoneticPr fontId="13"/>
  </si>
  <si>
    <t>風速測定点</t>
    <rPh sb="0" eb="2">
      <t>フウソク</t>
    </rPh>
    <rPh sb="2" eb="4">
      <t>ソクテイ</t>
    </rPh>
    <rPh sb="4" eb="5">
      <t>テン</t>
    </rPh>
    <phoneticPr fontId="13"/>
  </si>
  <si>
    <t>m</t>
    <phoneticPr fontId="13"/>
  </si>
  <si>
    <t>タンク長さ(N2O充填長さ)(外形でいいよ)</t>
    <rPh sb="3" eb="4">
      <t>ナガ</t>
    </rPh>
    <rPh sb="9" eb="11">
      <t>ジュウテン</t>
    </rPh>
    <rPh sb="11" eb="12">
      <t>ナガ</t>
    </rPh>
    <rPh sb="15" eb="17">
      <t>ガイケイ</t>
    </rPh>
    <phoneticPr fontId="13"/>
  </si>
  <si>
    <t>設計値(乾燥)</t>
    <rPh sb="0" eb="3">
      <t>セッケイチ</t>
    </rPh>
    <rPh sb="4" eb="6">
      <t>カンソウ</t>
    </rPh>
    <phoneticPr fontId="13"/>
  </si>
  <si>
    <t>重量</t>
    <rPh sb="0" eb="2">
      <t>ジュウリョウ</t>
    </rPh>
    <phoneticPr fontId="13"/>
  </si>
  <si>
    <t>kg</t>
    <phoneticPr fontId="13"/>
  </si>
  <si>
    <t>エンカバ重心</t>
    <rPh sb="4" eb="6">
      <t>ジュウシン</t>
    </rPh>
    <phoneticPr fontId="13"/>
  </si>
  <si>
    <t>mm</t>
    <phoneticPr fontId="13"/>
  </si>
  <si>
    <t>全長</t>
    <rPh sb="0" eb="2">
      <t>ゼンチョウ</t>
    </rPh>
    <phoneticPr fontId="13"/>
  </si>
  <si>
    <t>mm</t>
    <phoneticPr fontId="13"/>
  </si>
  <si>
    <t>基本エンカバから</t>
    <rPh sb="0" eb="2">
      <t>キホン</t>
    </rPh>
    <phoneticPr fontId="13"/>
  </si>
  <si>
    <t>秤1[m1,l1]</t>
    <rPh sb="0" eb="1">
      <t>ハカリ</t>
    </rPh>
    <phoneticPr fontId="13"/>
  </si>
  <si>
    <t>秤2[m2,l2]</t>
    <rPh sb="0" eb="1">
      <t>ハカリ</t>
    </rPh>
    <phoneticPr fontId="13"/>
  </si>
  <si>
    <t>[l2]</t>
    <phoneticPr fontId="13"/>
  </si>
  <si>
    <t>乾燥重量[M]</t>
    <rPh sb="0" eb="2">
      <t>カンソウ</t>
    </rPh>
    <rPh sb="2" eb="4">
      <t>ジュウリョウ</t>
    </rPh>
    <phoneticPr fontId="13"/>
  </si>
  <si>
    <t>乾燥重心位置[LG]</t>
    <rPh sb="0" eb="2">
      <t>カンソウ</t>
    </rPh>
    <rPh sb="2" eb="4">
      <t>ジュウシン</t>
    </rPh>
    <rPh sb="4" eb="6">
      <t>イチ</t>
    </rPh>
    <phoneticPr fontId="13"/>
  </si>
  <si>
    <t>重量誤差</t>
    <rPh sb="0" eb="2">
      <t>ジュウリョウ</t>
    </rPh>
    <rPh sb="2" eb="4">
      <t>ゴサ</t>
    </rPh>
    <phoneticPr fontId="13"/>
  </si>
  <si>
    <t>重心誤差</t>
    <rPh sb="0" eb="2">
      <t>ジュウシン</t>
    </rPh>
    <rPh sb="2" eb="4">
      <t>ゴサ</t>
    </rPh>
    <phoneticPr fontId="13"/>
  </si>
  <si>
    <t>回数</t>
    <rPh sb="0" eb="2">
      <t>カイスウ</t>
    </rPh>
    <phoneticPr fontId="13"/>
  </si>
  <si>
    <t>kg</t>
    <phoneticPr fontId="13"/>
  </si>
  <si>
    <t>mm</t>
    <phoneticPr fontId="13"/>
  </si>
  <si>
    <t>%</t>
    <phoneticPr fontId="13"/>
  </si>
  <si>
    <t>平均値</t>
    <rPh sb="0" eb="3">
      <t>ヘイキンチ</t>
    </rPh>
    <phoneticPr fontId="13"/>
  </si>
  <si>
    <t>測定値</t>
    <rPh sb="0" eb="3">
      <t>ソクテイチ</t>
    </rPh>
    <phoneticPr fontId="13"/>
  </si>
  <si>
    <t>誤差[%]</t>
    <rPh sb="0" eb="2">
      <t>ゴサ</t>
    </rPh>
    <phoneticPr fontId="13"/>
  </si>
  <si>
    <t>乾燥重量[kg]</t>
    <rPh sb="0" eb="2">
      <t>カンソウ</t>
    </rPh>
    <rPh sb="2" eb="4">
      <t>ジュウリョウ</t>
    </rPh>
    <phoneticPr fontId="13"/>
  </si>
  <si>
    <t>乾燥重心位置[mm]</t>
    <rPh sb="0" eb="2">
      <t>カンソウ</t>
    </rPh>
    <rPh sb="2" eb="4">
      <t>ジュウシン</t>
    </rPh>
    <rPh sb="4" eb="6">
      <t>イチ</t>
    </rPh>
    <phoneticPr fontId="13"/>
  </si>
  <si>
    <t>ノーズコーンから</t>
    <phoneticPr fontId="13"/>
  </si>
  <si>
    <t>全長[mm]</t>
    <rPh sb="0" eb="2">
      <t>ゼンチョウ</t>
    </rPh>
    <phoneticPr fontId="13"/>
  </si>
  <si>
    <t>ノーズからエンカバまで</t>
    <phoneticPr fontId="13"/>
  </si>
  <si>
    <t>kg</t>
    <phoneticPr fontId="13"/>
  </si>
  <si>
    <t>酸化剤質量</t>
    <rPh sb="0" eb="3">
      <t>サンカザイ</t>
    </rPh>
    <rPh sb="3" eb="5">
      <t>シツリョウ</t>
    </rPh>
    <phoneticPr fontId="13"/>
  </si>
  <si>
    <t>燃料重心位置</t>
    <rPh sb="0" eb="2">
      <t>ネンリョウ</t>
    </rPh>
    <rPh sb="2" eb="6">
      <t>ジュウシンイチ</t>
    </rPh>
    <phoneticPr fontId="13"/>
  </si>
  <si>
    <t>酸化剤重心位置</t>
    <rPh sb="0" eb="3">
      <t>サンカザイ</t>
    </rPh>
    <rPh sb="3" eb="7">
      <t>ジュウシンイチ</t>
    </rPh>
    <phoneticPr fontId="13"/>
  </si>
  <si>
    <t>燃料モーメント</t>
    <rPh sb="0" eb="2">
      <t>ネンリョウ</t>
    </rPh>
    <phoneticPr fontId="13"/>
  </si>
  <si>
    <t>酸化剤モーメント</t>
    <rPh sb="0" eb="3">
      <t>サンカザイ</t>
    </rPh>
    <phoneticPr fontId="13"/>
  </si>
  <si>
    <t>燃料抜モーメント</t>
    <rPh sb="0" eb="2">
      <t>ネンリョウ</t>
    </rPh>
    <rPh sb="2" eb="3">
      <t>ヌ</t>
    </rPh>
    <phoneticPr fontId="13"/>
  </si>
  <si>
    <t>酸化剤入モーメント</t>
    <rPh sb="0" eb="3">
      <t>サンカザイ</t>
    </rPh>
    <rPh sb="3" eb="4">
      <t>イ</t>
    </rPh>
    <phoneticPr fontId="13"/>
  </si>
  <si>
    <t>燃料抜き重量</t>
    <rPh sb="0" eb="2">
      <t>ネンリョウ</t>
    </rPh>
    <rPh sb="2" eb="3">
      <t>ヌ</t>
    </rPh>
    <rPh sb="4" eb="6">
      <t>ジュウリョウ</t>
    </rPh>
    <phoneticPr fontId="13"/>
  </si>
  <si>
    <t>kg</t>
    <phoneticPr fontId="13"/>
  </si>
  <si>
    <t>酸化剤入り重量</t>
    <rPh sb="0" eb="3">
      <t>サンカザイ</t>
    </rPh>
    <rPh sb="3" eb="4">
      <t>イ</t>
    </rPh>
    <rPh sb="5" eb="7">
      <t>ジュウリョウ</t>
    </rPh>
    <phoneticPr fontId="13"/>
  </si>
  <si>
    <t>乾燥重心</t>
    <rPh sb="0" eb="2">
      <t>カンソウ</t>
    </rPh>
    <rPh sb="2" eb="4">
      <t>ジュウシン</t>
    </rPh>
    <phoneticPr fontId="13"/>
  </si>
  <si>
    <t>全備重心</t>
    <rPh sb="0" eb="2">
      <t>ゼンビ</t>
    </rPh>
    <rPh sb="2" eb="4">
      <t>ジュウシン</t>
    </rPh>
    <phoneticPr fontId="13"/>
  </si>
  <si>
    <t>ノーズコーンから</t>
    <phoneticPr fontId="13"/>
  </si>
  <si>
    <t>燃焼前後の重心位置のずれ</t>
    <rPh sb="0" eb="2">
      <t>ネンショウ</t>
    </rPh>
    <rPh sb="2" eb="4">
      <t>ゼンゴ</t>
    </rPh>
    <rPh sb="5" eb="9">
      <t>ジュウシンイチ</t>
    </rPh>
    <phoneticPr fontId="13"/>
  </si>
  <si>
    <t>%</t>
    <phoneticPr fontId="13"/>
  </si>
  <si>
    <t>Output</t>
    <phoneticPr fontId="13"/>
  </si>
  <si>
    <t>Item</t>
    <phoneticPr fontId="13"/>
  </si>
  <si>
    <t>Value</t>
    <phoneticPr fontId="13"/>
  </si>
  <si>
    <t>Unit</t>
    <phoneticPr fontId="13"/>
  </si>
  <si>
    <t>機体直径</t>
    <rPh sb="0" eb="2">
      <t>キタイ</t>
    </rPh>
    <rPh sb="2" eb="4">
      <t>チョッケイ</t>
    </rPh>
    <phoneticPr fontId="13"/>
  </si>
  <si>
    <t>d</t>
    <phoneticPr fontId="13"/>
  </si>
  <si>
    <t>ノーズコーン法線力係数</t>
    <phoneticPr fontId="13"/>
  </si>
  <si>
    <t>乾燥</t>
    <rPh sb="0" eb="2">
      <t>カンソウ</t>
    </rPh>
    <phoneticPr fontId="13"/>
  </si>
  <si>
    <t>mini</t>
    <phoneticPr fontId="13"/>
  </si>
  <si>
    <t>max</t>
    <phoneticPr fontId="13"/>
  </si>
  <si>
    <t>機体半径</t>
    <rPh sb="0" eb="2">
      <t>キタイ</t>
    </rPh>
    <rPh sb="2" eb="4">
      <t>ハンケイ</t>
    </rPh>
    <phoneticPr fontId="13"/>
  </si>
  <si>
    <t>R</t>
    <phoneticPr fontId="13"/>
  </si>
  <si>
    <t>ノーズコーン圧力中心</t>
    <rPh sb="6" eb="10">
      <t>アツリョクチュウシン</t>
    </rPh>
    <phoneticPr fontId="13"/>
  </si>
  <si>
    <t>乾燥直径比</t>
    <rPh sb="0" eb="2">
      <t>カンソウ</t>
    </rPh>
    <rPh sb="2" eb="4">
      <t>チョッケイ</t>
    </rPh>
    <rPh sb="4" eb="5">
      <t>ヒ</t>
    </rPh>
    <phoneticPr fontId="13"/>
  </si>
  <si>
    <t>Cs</t>
    <phoneticPr fontId="13"/>
  </si>
  <si>
    <t>全長(ノーズ to エンカバ)</t>
    <rPh sb="0" eb="2">
      <t>ゼンチョウ</t>
    </rPh>
    <phoneticPr fontId="13"/>
  </si>
  <si>
    <t>乾燥全長比</t>
    <rPh sb="0" eb="2">
      <t>カンソウ</t>
    </rPh>
    <rPh sb="2" eb="4">
      <t>ゼンチョウ</t>
    </rPh>
    <rPh sb="4" eb="5">
      <t>ヒ</t>
    </rPh>
    <phoneticPr fontId="13"/>
  </si>
  <si>
    <t>Fst</t>
    <phoneticPr fontId="13"/>
  </si>
  <si>
    <t>機体細長比</t>
    <rPh sb="0" eb="2">
      <t>キタイ</t>
    </rPh>
    <rPh sb="2" eb="5">
      <t>ホソナガヒ</t>
    </rPh>
    <phoneticPr fontId="13"/>
  </si>
  <si>
    <t>L/D</t>
    <phoneticPr fontId="13"/>
  </si>
  <si>
    <t>ボートテイル法線力係数</t>
    <phoneticPr fontId="13"/>
  </si>
  <si>
    <t>ボートテイル圧力中心</t>
    <rPh sb="6" eb="10">
      <t>アツリョクチュウシン</t>
    </rPh>
    <phoneticPr fontId="13"/>
  </si>
  <si>
    <t>機体乾燥重心(ノーズから)</t>
    <rPh sb="0" eb="2">
      <t>キタイ</t>
    </rPh>
    <rPh sb="2" eb="6">
      <t>カンソウジュウシン</t>
    </rPh>
    <phoneticPr fontId="13"/>
  </si>
  <si>
    <t>lcgs</t>
    <phoneticPr fontId="13"/>
  </si>
  <si>
    <t>機体全備重心(ノーズから)</t>
    <rPh sb="0" eb="2">
      <t>キタイ</t>
    </rPh>
    <rPh sb="2" eb="4">
      <t>ゼンビ</t>
    </rPh>
    <rPh sb="4" eb="6">
      <t>ジュウシン</t>
    </rPh>
    <phoneticPr fontId="13"/>
  </si>
  <si>
    <t>lcg</t>
    <phoneticPr fontId="13"/>
  </si>
  <si>
    <t>フィン法線力係数(Single)</t>
    <phoneticPr fontId="13"/>
  </si>
  <si>
    <t>機体燃焼終了重心(ノーズから)</t>
    <rPh sb="0" eb="2">
      <t>キタイ</t>
    </rPh>
    <rPh sb="2" eb="4">
      <t>ネンショウ</t>
    </rPh>
    <rPh sb="4" eb="6">
      <t>シュウリョウ</t>
    </rPh>
    <rPh sb="6" eb="8">
      <t>ジュウシン</t>
    </rPh>
    <phoneticPr fontId="13"/>
  </si>
  <si>
    <t>lcga</t>
    <phoneticPr fontId="13"/>
  </si>
  <si>
    <t>フィン干渉係数</t>
    <rPh sb="3" eb="5">
      <t>カンショウ</t>
    </rPh>
    <rPh sb="5" eb="7">
      <t>ケイスウ</t>
    </rPh>
    <phoneticPr fontId="13"/>
  </si>
  <si>
    <t>フィン法線力係数</t>
    <phoneticPr fontId="13"/>
  </si>
  <si>
    <t>フィン枚数(3 or 4)</t>
    <rPh sb="3" eb="5">
      <t>マイスウ</t>
    </rPh>
    <phoneticPr fontId="13"/>
  </si>
  <si>
    <t>枚</t>
    <rPh sb="0" eb="1">
      <t>マイ</t>
    </rPh>
    <phoneticPr fontId="13"/>
  </si>
  <si>
    <t>フィン圧力中心</t>
    <rPh sb="3" eb="7">
      <t>アツリョクチュウシン</t>
    </rPh>
    <phoneticPr fontId="13"/>
  </si>
  <si>
    <t>フィン翼元前縁位置(エンカバ)</t>
    <rPh sb="3" eb="5">
      <t>ヨクモト</t>
    </rPh>
    <rPh sb="5" eb="7">
      <t>ゼンエン</t>
    </rPh>
    <rPh sb="7" eb="9">
      <t>イチ</t>
    </rPh>
    <phoneticPr fontId="13"/>
  </si>
  <si>
    <t>合成法線力係数</t>
    <rPh sb="0" eb="2">
      <t>ゴウセイ</t>
    </rPh>
    <phoneticPr fontId="13"/>
  </si>
  <si>
    <t>全備</t>
    <rPh sb="0" eb="2">
      <t>ゼンビ</t>
    </rPh>
    <phoneticPr fontId="13"/>
  </si>
  <si>
    <t>フィン翼元前縁位置(ノーズ)</t>
    <rPh sb="3" eb="5">
      <t>ヨクモト</t>
    </rPh>
    <rPh sb="5" eb="7">
      <t>ゼンエン</t>
    </rPh>
    <rPh sb="7" eb="9">
      <t>イチ</t>
    </rPh>
    <phoneticPr fontId="13"/>
  </si>
  <si>
    <t>合成圧力中心</t>
    <rPh sb="0" eb="2">
      <t>ゴウセイ</t>
    </rPh>
    <rPh sb="2" eb="6">
      <t>アツリョクチュウシン</t>
    </rPh>
    <phoneticPr fontId="13"/>
  </si>
  <si>
    <t>lcp</t>
    <phoneticPr fontId="13"/>
  </si>
  <si>
    <t>推奨</t>
    <rPh sb="0" eb="2">
      <t>スイショウ</t>
    </rPh>
    <phoneticPr fontId="13"/>
  </si>
  <si>
    <t>m</t>
    <phoneticPr fontId="13"/>
  </si>
  <si>
    <t>以上</t>
    <rPh sb="0" eb="2">
      <t>イジョウ</t>
    </rPh>
    <phoneticPr fontId="13"/>
  </si>
  <si>
    <t>フィン寸法(台形フィンのみ対応)CADにて寸法を確認すること</t>
    <rPh sb="3" eb="5">
      <t>スンポウ</t>
    </rPh>
    <rPh sb="6" eb="8">
      <t>ダイケイ</t>
    </rPh>
    <rPh sb="13" eb="15">
      <t>タイオウ</t>
    </rPh>
    <phoneticPr fontId="13"/>
  </si>
  <si>
    <t>a</t>
    <phoneticPr fontId="13"/>
  </si>
  <si>
    <t>翼端翼弦長</t>
    <rPh sb="0" eb="2">
      <t>ヨクタン</t>
    </rPh>
    <rPh sb="2" eb="5">
      <t>ヨクゲンチョウ</t>
    </rPh>
    <phoneticPr fontId="13"/>
  </si>
  <si>
    <t>b</t>
    <phoneticPr fontId="13"/>
  </si>
  <si>
    <t>半スパン</t>
    <rPh sb="0" eb="1">
      <t>ハン</t>
    </rPh>
    <phoneticPr fontId="13"/>
  </si>
  <si>
    <t>S</t>
    <phoneticPr fontId="13"/>
  </si>
  <si>
    <t>翼後縁後退角</t>
    <rPh sb="0" eb="1">
      <t>ヨク</t>
    </rPh>
    <rPh sb="1" eb="3">
      <t>コウエン</t>
    </rPh>
    <rPh sb="3" eb="6">
      <t>コウタイカク</t>
    </rPh>
    <phoneticPr fontId="13"/>
  </si>
  <si>
    <t>rad</t>
    <phoneticPr fontId="13"/>
  </si>
  <si>
    <t>l</t>
    <phoneticPr fontId="13"/>
  </si>
  <si>
    <t>燃焼終了</t>
    <rPh sb="0" eb="4">
      <t>ネンショウシュウリョウ</t>
    </rPh>
    <phoneticPr fontId="13"/>
  </si>
  <si>
    <t>ノーズ形状</t>
    <rPh sb="3" eb="5">
      <t>ケイジョウ</t>
    </rPh>
    <phoneticPr fontId="13"/>
  </si>
  <si>
    <t>1：円錐</t>
    <rPh sb="2" eb="4">
      <t>エンスイ</t>
    </rPh>
    <phoneticPr fontId="13"/>
  </si>
  <si>
    <t>2：オジャイブ</t>
    <phoneticPr fontId="13"/>
  </si>
  <si>
    <t>ノーズコーン長さ(テーパ部長さ)</t>
    <rPh sb="6" eb="7">
      <t>ナガ</t>
    </rPh>
    <rPh sb="12" eb="13">
      <t>ブ</t>
    </rPh>
    <rPh sb="13" eb="14">
      <t>ナガ</t>
    </rPh>
    <phoneticPr fontId="13"/>
  </si>
  <si>
    <t>ノーズ細長比</t>
    <rPh sb="3" eb="6">
      <t>ホソナガヒ</t>
    </rPh>
    <phoneticPr fontId="13"/>
  </si>
  <si>
    <t>Kn</t>
    <phoneticPr fontId="13"/>
  </si>
  <si>
    <t>ノーズ形状による圧力中心係数</t>
    <rPh sb="3" eb="5">
      <t>ケイジョウ</t>
    </rPh>
    <rPh sb="8" eb="12">
      <t>アツリョクチュウシン</t>
    </rPh>
    <rPh sb="12" eb="14">
      <t>ケイスウ</t>
    </rPh>
    <phoneticPr fontId="13"/>
  </si>
  <si>
    <t>テイル直径</t>
    <rPh sb="3" eb="5">
      <t>チョッケイ</t>
    </rPh>
    <phoneticPr fontId="13"/>
  </si>
  <si>
    <t>テイル長さ</t>
    <rPh sb="3" eb="4">
      <t>ナガ</t>
    </rPh>
    <phoneticPr fontId="13"/>
  </si>
  <si>
    <t>断面変化位置</t>
    <rPh sb="0" eb="2">
      <t>ダンメン</t>
    </rPh>
    <rPh sb="2" eb="4">
      <t>ヘンカ</t>
    </rPh>
    <rPh sb="4" eb="6">
      <t>イチ</t>
    </rPh>
    <phoneticPr fontId="13"/>
  </si>
  <si>
    <t>Xt</t>
    <phoneticPr fontId="13"/>
  </si>
  <si>
    <t>L/D</t>
    <phoneticPr fontId="13"/>
  </si>
  <si>
    <t>lcgs</t>
    <phoneticPr fontId="13"/>
  </si>
  <si>
    <t>lcga</t>
    <phoneticPr fontId="13"/>
  </si>
  <si>
    <t>lcg0</t>
    <phoneticPr fontId="13"/>
  </si>
  <si>
    <t>kg・m</t>
    <phoneticPr fontId="13"/>
  </si>
  <si>
    <t>燃焼前燃料</t>
    <rPh sb="0" eb="2">
      <t>ネンショウ</t>
    </rPh>
    <rPh sb="2" eb="3">
      <t>マエ</t>
    </rPh>
    <rPh sb="3" eb="5">
      <t>ネンリョウ</t>
    </rPh>
    <phoneticPr fontId="13"/>
  </si>
  <si>
    <t>燃焼後燃料</t>
    <rPh sb="0" eb="2">
      <t>ネンショウ</t>
    </rPh>
    <rPh sb="2" eb="3">
      <t>ゴ</t>
    </rPh>
    <rPh sb="3" eb="5">
      <t>ネンリョウ</t>
    </rPh>
    <phoneticPr fontId="13"/>
  </si>
  <si>
    <t>モーメント</t>
    <phoneticPr fontId="13"/>
  </si>
  <si>
    <t>空虚</t>
    <rPh sb="0" eb="2">
      <t>クウキョ</t>
    </rPh>
    <phoneticPr fontId="13"/>
  </si>
  <si>
    <t>酸化剤</t>
    <rPh sb="0" eb="3">
      <t>サンカザイ</t>
    </rPh>
    <phoneticPr fontId="13"/>
  </si>
  <si>
    <t>乾燥モーメント</t>
    <rPh sb="0" eb="2">
      <t>カンソウ</t>
    </rPh>
    <phoneticPr fontId="13"/>
  </si>
  <si>
    <t>燃焼終了後</t>
    <rPh sb="0" eb="4">
      <t>ネンショウシュウリョウ</t>
    </rPh>
    <rPh sb="4" eb="5">
      <t>ゴ</t>
    </rPh>
    <phoneticPr fontId="13"/>
  </si>
  <si>
    <t>直径比</t>
    <rPh sb="0" eb="2">
      <t>チョッケイ</t>
    </rPh>
    <rPh sb="2" eb="3">
      <t>ヒ</t>
    </rPh>
    <phoneticPr fontId="13"/>
  </si>
  <si>
    <t>全長比</t>
    <rPh sb="0" eb="2">
      <t>ゼンチョウ</t>
    </rPh>
    <rPh sb="2" eb="3">
      <t>ヒ</t>
    </rPh>
    <phoneticPr fontId="13"/>
  </si>
  <si>
    <t>昔からの経験則</t>
    <rPh sb="0" eb="1">
      <t>ムカシ</t>
    </rPh>
    <rPh sb="4" eb="7">
      <t>ケイケンソク</t>
    </rPh>
    <phoneticPr fontId="13"/>
  </si>
  <si>
    <t>音速超えるとlcpは大きく(後ろ)なる</t>
    <rPh sb="0" eb="2">
      <t>オンソク</t>
    </rPh>
    <rPh sb="2" eb="3">
      <t>コ</t>
    </rPh>
    <rPh sb="10" eb="11">
      <t>オオ</t>
    </rPh>
    <rPh sb="14" eb="15">
      <t>ウシ</t>
    </rPh>
    <phoneticPr fontId="13"/>
  </si>
  <si>
    <t>ボートテイル</t>
    <phoneticPr fontId="13"/>
  </si>
  <si>
    <t>直径比</t>
    <rPh sb="0" eb="3">
      <t>チョッケイヒ</t>
    </rPh>
    <phoneticPr fontId="13"/>
  </si>
  <si>
    <t>テーパ角度</t>
    <rPh sb="3" eb="5">
      <t>カクド</t>
    </rPh>
    <phoneticPr fontId="13"/>
  </si>
  <si>
    <t>deg</t>
    <phoneticPr fontId="13"/>
  </si>
  <si>
    <t>&lt;</t>
    <phoneticPr fontId="13"/>
  </si>
  <si>
    <t>つまり安定比も大きくなる</t>
    <rPh sb="3" eb="6">
      <t>アンテイヒ</t>
    </rPh>
    <rPh sb="7" eb="8">
      <t>オオ</t>
    </rPh>
    <phoneticPr fontId="13"/>
  </si>
  <si>
    <t>燃焼終了重量</t>
    <rPh sb="0" eb="2">
      <t>ネンショウ</t>
    </rPh>
    <rPh sb="2" eb="4">
      <t>シュウリョウ</t>
    </rPh>
    <rPh sb="4" eb="6">
      <t>ジュウリョウ</t>
    </rPh>
    <phoneticPr fontId="13"/>
  </si>
  <si>
    <t>kg</t>
    <phoneticPr fontId="13"/>
  </si>
  <si>
    <t>方位</t>
    <rPh sb="0" eb="2">
      <t>ホウイ</t>
    </rPh>
    <phoneticPr fontId="2"/>
  </si>
  <si>
    <t>ma</t>
    <phoneticPr fontId="13"/>
  </si>
  <si>
    <t>dt</t>
    <phoneticPr fontId="13"/>
  </si>
  <si>
    <t>サンプリングレート</t>
    <phoneticPr fontId="2"/>
  </si>
  <si>
    <t>Hz</t>
    <phoneticPr fontId="13"/>
  </si>
  <si>
    <t>提出の推力履歴のサンプリングレート(100 Hz以上のこと)</t>
    <rPh sb="0" eb="2">
      <t>テイシュツ</t>
    </rPh>
    <rPh sb="3" eb="5">
      <t>スイリョク</t>
    </rPh>
    <rPh sb="5" eb="7">
      <t>リレキ</t>
    </rPh>
    <rPh sb="24" eb="26">
      <t>イジョウ</t>
    </rPh>
    <phoneticPr fontId="13"/>
  </si>
  <si>
    <t>全備重量</t>
    <rPh sb="0" eb="2">
      <t>ゼンビ</t>
    </rPh>
    <rPh sb="2" eb="4">
      <t>ジュウリョウ</t>
    </rPh>
    <phoneticPr fontId="13"/>
  </si>
  <si>
    <t>mb</t>
    <phoneticPr fontId="13"/>
  </si>
  <si>
    <t>kg</t>
    <phoneticPr fontId="13"/>
  </si>
  <si>
    <t>推進剤を除いた機体質量時のピッチ・ヨー方向の慣性モーメント</t>
    <rPh sb="19" eb="21">
      <t>ホウコウ</t>
    </rPh>
    <rPh sb="22" eb="24">
      <t>カンセイ</t>
    </rPh>
    <phoneticPr fontId="13"/>
  </si>
  <si>
    <t>推進剤を除いた機体質量時のロール方向の慣性モーメント</t>
    <rPh sb="16" eb="18">
      <t>ホウコウ</t>
    </rPh>
    <rPh sb="19" eb="21">
      <t>カンセイ</t>
    </rPh>
    <phoneticPr fontId="13"/>
  </si>
  <si>
    <t>Ds</t>
    <phoneticPr fontId="13"/>
  </si>
  <si>
    <t>L</t>
    <phoneticPr fontId="13"/>
  </si>
  <si>
    <r>
      <t>l</t>
    </r>
    <r>
      <rPr>
        <i/>
        <vertAlign val="subscript"/>
        <sz val="10"/>
        <rFont val="Times New Roman"/>
        <family val="1"/>
      </rPr>
      <t>CGS</t>
    </r>
    <phoneticPr fontId="13"/>
  </si>
  <si>
    <t>ノーズコーンApparent Mass</t>
    <phoneticPr fontId="13"/>
  </si>
  <si>
    <t>ボートテイルApparent Mass</t>
    <phoneticPr fontId="13"/>
  </si>
  <si>
    <t>フィンApparent Mass</t>
    <phoneticPr fontId="13"/>
  </si>
  <si>
    <t>復元モーメント係数</t>
    <rPh sb="0" eb="2">
      <t>フクゲン</t>
    </rPh>
    <rPh sb="7" eb="9">
      <t>ケイスウ</t>
    </rPh>
    <phoneticPr fontId="13"/>
  </si>
  <si>
    <t>Pitch/Yaw減衰モーメント係数</t>
    <rPh sb="9" eb="11">
      <t>ゲンスイ</t>
    </rPh>
    <rPh sb="16" eb="18">
      <t>ケイスウ</t>
    </rPh>
    <phoneticPr fontId="13"/>
  </si>
  <si>
    <t>Roll減衰モーメント係数</t>
    <rPh sb="4" eb="6">
      <t>ゲンスイ</t>
    </rPh>
    <rPh sb="11" eb="13">
      <t>ケイスウ</t>
    </rPh>
    <phoneticPr fontId="13"/>
  </si>
  <si>
    <t>rf1</t>
    <phoneticPr fontId="13"/>
  </si>
  <si>
    <t>rf2</t>
    <phoneticPr fontId="13"/>
  </si>
  <si>
    <t>燃料内径</t>
    <rPh sb="0" eb="2">
      <t>ネンリョウ</t>
    </rPh>
    <rPh sb="2" eb="4">
      <t>ナイケイ</t>
    </rPh>
    <phoneticPr fontId="13"/>
  </si>
  <si>
    <t>m</t>
    <phoneticPr fontId="13"/>
  </si>
  <si>
    <t>燃料外径</t>
    <rPh sb="0" eb="2">
      <t>ネンリョウ</t>
    </rPh>
    <rPh sb="2" eb="4">
      <t>ガイケイ</t>
    </rPh>
    <phoneticPr fontId="13"/>
  </si>
  <si>
    <t>燃料内径(燃焼前)</t>
    <rPh sb="0" eb="2">
      <t>ネンリョウ</t>
    </rPh>
    <rPh sb="2" eb="4">
      <t>ナイケイ</t>
    </rPh>
    <rPh sb="5" eb="7">
      <t>ネンショウ</t>
    </rPh>
    <rPh sb="7" eb="8">
      <t>マエ</t>
    </rPh>
    <phoneticPr fontId="13"/>
  </si>
  <si>
    <t>フィングラフ用</t>
    <rPh sb="6" eb="7">
      <t>ヨウ</t>
    </rPh>
    <phoneticPr fontId="13"/>
  </si>
  <si>
    <t>圧力中心</t>
    <rPh sb="0" eb="4">
      <t>アツリョクチュウシン</t>
    </rPh>
    <phoneticPr fontId="13"/>
  </si>
  <si>
    <t>理想重心設定</t>
    <rPh sb="0" eb="2">
      <t>リソウ</t>
    </rPh>
    <rPh sb="2" eb="4">
      <t>ジュウシン</t>
    </rPh>
    <rPh sb="4" eb="6">
      <t>セッテイ</t>
    </rPh>
    <phoneticPr fontId="13"/>
  </si>
  <si>
    <t>d lcg</t>
    <phoneticPr fontId="13"/>
  </si>
  <si>
    <t>燃焼終了</t>
    <rPh sb="0" eb="2">
      <t>ネンショウ</t>
    </rPh>
    <rPh sb="2" eb="4">
      <t>シュウリョウ</t>
    </rPh>
    <phoneticPr fontId="13"/>
  </si>
  <si>
    <t>θ2</t>
    <phoneticPr fontId="13"/>
  </si>
  <si>
    <t>deg</t>
    <phoneticPr fontId="13"/>
  </si>
  <si>
    <t>a2</t>
    <phoneticPr fontId="13"/>
  </si>
  <si>
    <t>mm</t>
    <phoneticPr fontId="13"/>
  </si>
  <si>
    <t>a1</t>
    <phoneticPr fontId="13"/>
  </si>
  <si>
    <t>第1後退角</t>
    <rPh sb="0" eb="1">
      <t>ダイ</t>
    </rPh>
    <rPh sb="2" eb="5">
      <t>コウタイカク</t>
    </rPh>
    <phoneticPr fontId="13"/>
  </si>
  <si>
    <t>第1後退長さ</t>
    <rPh sb="0" eb="1">
      <t>ダイ</t>
    </rPh>
    <rPh sb="2" eb="4">
      <t>コウタイ</t>
    </rPh>
    <rPh sb="4" eb="5">
      <t>ナガ</t>
    </rPh>
    <phoneticPr fontId="13"/>
  </si>
  <si>
    <t>θ1</t>
    <phoneticPr fontId="13"/>
  </si>
  <si>
    <t>rad</t>
    <phoneticPr fontId="13"/>
  </si>
  <si>
    <t>擬似翼弦長</t>
    <rPh sb="0" eb="2">
      <t>ギジ</t>
    </rPh>
    <rPh sb="2" eb="5">
      <t>ヨクゲンチョウ</t>
    </rPh>
    <phoneticPr fontId="13"/>
  </si>
  <si>
    <t>deg</t>
    <phoneticPr fontId="13"/>
  </si>
  <si>
    <t>rad</t>
    <phoneticPr fontId="13"/>
  </si>
  <si>
    <t>前縁後退長さ</t>
    <rPh sb="0" eb="2">
      <t>ゼンエン</t>
    </rPh>
    <rPh sb="2" eb="4">
      <t>コウタイ</t>
    </rPh>
    <rPh sb="4" eb="5">
      <t>ナガ</t>
    </rPh>
    <phoneticPr fontId="13"/>
  </si>
  <si>
    <t>擬似寸法</t>
    <rPh sb="0" eb="2">
      <t>ギジ</t>
    </rPh>
    <rPh sb="2" eb="4">
      <t>スンポウ</t>
    </rPh>
    <phoneticPr fontId="13"/>
  </si>
  <si>
    <t>m/s</t>
    <phoneticPr fontId="13"/>
  </si>
  <si>
    <t>揚力</t>
    <rPh sb="0" eb="2">
      <t>ヨウリョク</t>
    </rPh>
    <phoneticPr fontId="13"/>
  </si>
  <si>
    <t>Sw</t>
    <phoneticPr fontId="13"/>
  </si>
  <si>
    <t>mm^2</t>
    <phoneticPr fontId="13"/>
  </si>
  <si>
    <t>アスペクト比</t>
    <rPh sb="5" eb="6">
      <t>ヒ</t>
    </rPh>
    <phoneticPr fontId="13"/>
  </si>
  <si>
    <t>Aw</t>
    <phoneticPr fontId="13"/>
  </si>
  <si>
    <t>テーパ比</t>
    <rPh sb="3" eb="4">
      <t>ヒ</t>
    </rPh>
    <phoneticPr fontId="13"/>
  </si>
  <si>
    <t>AR</t>
    <phoneticPr fontId="13"/>
  </si>
  <si>
    <t>空力平均翼弦位置</t>
    <rPh sb="0" eb="4">
      <t>クウリキヘイキン</t>
    </rPh>
    <rPh sb="4" eb="6">
      <t>ヨクゲン</t>
    </rPh>
    <rPh sb="6" eb="8">
      <t>イチ</t>
    </rPh>
    <phoneticPr fontId="13"/>
  </si>
  <si>
    <t>空力平均翼弦</t>
    <rPh sb="0" eb="2">
      <t>クウリキ</t>
    </rPh>
    <rPh sb="2" eb="4">
      <t>ヘイキン</t>
    </rPh>
    <rPh sb="4" eb="6">
      <t>ヨクゲン</t>
    </rPh>
    <phoneticPr fontId="13"/>
  </si>
  <si>
    <t>MAC</t>
    <phoneticPr fontId="13"/>
  </si>
  <si>
    <t>X_MAC</t>
    <phoneticPr fontId="13"/>
  </si>
  <si>
    <t>mm</t>
    <phoneticPr fontId="13"/>
  </si>
  <si>
    <t>λ</t>
    <phoneticPr fontId="13"/>
  </si>
  <si>
    <t>翼厚</t>
    <rPh sb="0" eb="2">
      <t>ヨクアツ</t>
    </rPh>
    <phoneticPr fontId="13"/>
  </si>
  <si>
    <t>t</t>
    <phoneticPr fontId="13"/>
  </si>
  <si>
    <t>t/c</t>
    <phoneticPr fontId="13"/>
  </si>
  <si>
    <t>%</t>
    <phoneticPr fontId="13"/>
  </si>
  <si>
    <t>有効アスペクト比</t>
    <rPh sb="0" eb="2">
      <t>ユウコウ</t>
    </rPh>
    <rPh sb="7" eb="8">
      <t>ヒ</t>
    </rPh>
    <phoneticPr fontId="13"/>
  </si>
  <si>
    <t>ARe</t>
    <phoneticPr fontId="13"/>
  </si>
  <si>
    <t>翼厚比_MAC</t>
    <rPh sb="0" eb="3">
      <t>ヨクアツヒ</t>
    </rPh>
    <phoneticPr fontId="13"/>
  </si>
  <si>
    <t>翼厚比_翼根翼弦長</t>
    <rPh sb="0" eb="3">
      <t>ヨクアツヒ</t>
    </rPh>
    <rPh sb="4" eb="5">
      <t>ヨク</t>
    </rPh>
    <rPh sb="5" eb="6">
      <t>ネ</t>
    </rPh>
    <rPh sb="6" eb="9">
      <t>ヨクゲンチョウ</t>
    </rPh>
    <phoneticPr fontId="13"/>
  </si>
  <si>
    <t>翼根翼弦長</t>
    <rPh sb="0" eb="1">
      <t>ツバサ</t>
    </rPh>
    <rPh sb="1" eb="2">
      <t>ネ</t>
    </rPh>
    <rPh sb="2" eb="5">
      <t>ヨクゲンチョウ</t>
    </rPh>
    <phoneticPr fontId="13"/>
  </si>
  <si>
    <t>翼面積</t>
    <rPh sb="0" eb="3">
      <t>ヨクメンセキ</t>
    </rPh>
    <phoneticPr fontId="13"/>
  </si>
  <si>
    <t>V</t>
    <phoneticPr fontId="13"/>
  </si>
  <si>
    <t>rad^-1</t>
    <phoneticPr fontId="13"/>
  </si>
  <si>
    <t>rad^-1</t>
    <phoneticPr fontId="13"/>
  </si>
  <si>
    <t>M</t>
    <phoneticPr fontId="13"/>
  </si>
  <si>
    <t>V</t>
    <phoneticPr fontId="13"/>
  </si>
  <si>
    <t>Cd</t>
    <phoneticPr fontId="13"/>
  </si>
  <si>
    <t>最高速度</t>
    <rPh sb="0" eb="4">
      <t>サイコウソクド</t>
    </rPh>
    <phoneticPr fontId="13"/>
  </si>
  <si>
    <t>m/s</t>
    <phoneticPr fontId="13"/>
  </si>
  <si>
    <t>M</t>
    <phoneticPr fontId="13"/>
  </si>
  <si>
    <t>気温</t>
    <rPh sb="0" eb="2">
      <t>キオン</t>
    </rPh>
    <phoneticPr fontId="13"/>
  </si>
  <si>
    <t>degC</t>
    <phoneticPr fontId="13"/>
  </si>
  <si>
    <t>T</t>
    <phoneticPr fontId="13"/>
  </si>
  <si>
    <t>静粘性係数</t>
    <rPh sb="0" eb="5">
      <t>セイネンセイケイスウ</t>
    </rPh>
    <phoneticPr fontId="13"/>
  </si>
  <si>
    <t>μ</t>
    <phoneticPr fontId="13"/>
  </si>
  <si>
    <t>ν</t>
    <phoneticPr fontId="13"/>
  </si>
  <si>
    <t>動粘性係数</t>
    <rPh sb="0" eb="5">
      <t>ドウネンセイケイスウ</t>
    </rPh>
    <phoneticPr fontId="13"/>
  </si>
  <si>
    <t>kg/s・m</t>
    <phoneticPr fontId="13"/>
  </si>
  <si>
    <t>m^2/s</t>
    <phoneticPr fontId="13"/>
  </si>
  <si>
    <t>Re</t>
    <phoneticPr fontId="13"/>
  </si>
  <si>
    <t>レイノルズ数</t>
    <rPh sb="5" eb="6">
      <t>スウ</t>
    </rPh>
    <phoneticPr fontId="13"/>
  </si>
  <si>
    <t>Cf</t>
    <phoneticPr fontId="13"/>
  </si>
  <si>
    <t>摩擦係数</t>
    <rPh sb="0" eb="4">
      <t>マサツケイスウ</t>
    </rPh>
    <phoneticPr fontId="13"/>
  </si>
  <si>
    <t>ボディー濡面積</t>
    <rPh sb="4" eb="7">
      <t>ヌレメンセキ</t>
    </rPh>
    <phoneticPr fontId="13"/>
  </si>
  <si>
    <t>ベース抵抗(ボートテイル)</t>
    <rPh sb="3" eb="5">
      <t>テイコウ</t>
    </rPh>
    <phoneticPr fontId="13"/>
  </si>
  <si>
    <t>ノーズ+ボディ抵抗</t>
    <rPh sb="7" eb="9">
      <t>テイコウ</t>
    </rPh>
    <phoneticPr fontId="13"/>
  </si>
  <si>
    <t>ノーズ+ボディ摩擦係数</t>
    <rPh sb="7" eb="11">
      <t>マサツケイスウ</t>
    </rPh>
    <phoneticPr fontId="13"/>
  </si>
  <si>
    <t>L</t>
    <phoneticPr fontId="13"/>
  </si>
  <si>
    <t>CL</t>
    <phoneticPr fontId="13"/>
  </si>
  <si>
    <t>Cdi</t>
    <phoneticPr fontId="13"/>
  </si>
  <si>
    <t>フィン摩擦のみ</t>
    <rPh sb="3" eb="5">
      <t>マサツ</t>
    </rPh>
    <phoneticPr fontId="13"/>
  </si>
  <si>
    <t>Cdf</t>
    <phoneticPr fontId="13"/>
  </si>
  <si>
    <t>フィン抵抗</t>
    <rPh sb="3" eb="5">
      <t>テイコウ</t>
    </rPh>
    <phoneticPr fontId="13"/>
  </si>
  <si>
    <t>干渉抵抗</t>
    <rPh sb="0" eb="2">
      <t>カンショウ</t>
    </rPh>
    <rPh sb="2" eb="4">
      <t>テイコウ</t>
    </rPh>
    <phoneticPr fontId="13"/>
  </si>
  <si>
    <t>揚力</t>
    <rPh sb="0" eb="2">
      <t>ヨウリョク</t>
    </rPh>
    <phoneticPr fontId="13"/>
  </si>
  <si>
    <t>揚力係数</t>
    <rPh sb="0" eb="2">
      <t>ヨウリョク</t>
    </rPh>
    <rPh sb="2" eb="4">
      <t>ケイスウ</t>
    </rPh>
    <phoneticPr fontId="13"/>
  </si>
  <si>
    <t>フィン誘導抵抗</t>
    <rPh sb="3" eb="5">
      <t>ユウドウ</t>
    </rPh>
    <rPh sb="5" eb="7">
      <t>テイコウ</t>
    </rPh>
    <phoneticPr fontId="13"/>
  </si>
  <si>
    <t>フィン摩擦抵抗</t>
    <rPh sb="3" eb="5">
      <t>マサツ</t>
    </rPh>
    <rPh sb="5" eb="7">
      <t>テイコウ</t>
    </rPh>
    <phoneticPr fontId="13"/>
  </si>
  <si>
    <t>Cff</t>
    <phoneticPr fontId="13"/>
  </si>
  <si>
    <t>Cdb</t>
    <phoneticPr fontId="13"/>
  </si>
  <si>
    <t>合成抗力係数</t>
    <rPh sb="0" eb="2">
      <t>ゴウセイ</t>
    </rPh>
    <rPh sb="2" eb="4">
      <t>コウリョク</t>
    </rPh>
    <rPh sb="4" eb="6">
      <t>ケイスウ</t>
    </rPh>
    <phoneticPr fontId="13"/>
  </si>
  <si>
    <t>抗力係数推算</t>
    <rPh sb="0" eb="2">
      <t>コウリョク</t>
    </rPh>
    <rPh sb="2" eb="4">
      <t>ケイスウ</t>
    </rPh>
    <rPh sb="4" eb="6">
      <t>スイサン</t>
    </rPh>
    <phoneticPr fontId="13"/>
  </si>
  <si>
    <t>β</t>
    <phoneticPr fontId="13"/>
  </si>
  <si>
    <t>sm</t>
    <phoneticPr fontId="13"/>
  </si>
  <si>
    <t>a/sm</t>
    <phoneticPr fontId="13"/>
  </si>
  <si>
    <t>前縁後退角</t>
    <rPh sb="0" eb="2">
      <t>ゼンエン</t>
    </rPh>
    <rPh sb="2" eb="5">
      <t>コウタイカク</t>
    </rPh>
    <phoneticPr fontId="13"/>
  </si>
  <si>
    <t>rad</t>
    <phoneticPr fontId="13"/>
  </si>
  <si>
    <t>sm/a</t>
    <phoneticPr fontId="13"/>
  </si>
  <si>
    <t>KB</t>
    <phoneticPr fontId="13"/>
  </si>
  <si>
    <t>KW</t>
    <phoneticPr fontId="13"/>
  </si>
  <si>
    <t>Atanχ</t>
    <phoneticPr fontId="13"/>
  </si>
  <si>
    <t>cr</t>
    <phoneticPr fontId="13"/>
  </si>
  <si>
    <t>ct</t>
    <phoneticPr fontId="13"/>
  </si>
  <si>
    <t>空気力学的翼端翼弦長</t>
    <rPh sb="0" eb="4">
      <t>クウキリキガク</t>
    </rPh>
    <rPh sb="4" eb="5">
      <t>テキ</t>
    </rPh>
    <rPh sb="5" eb="7">
      <t>ヨクタン</t>
    </rPh>
    <rPh sb="7" eb="10">
      <t>ヨクゲンチョウ</t>
    </rPh>
    <phoneticPr fontId="13"/>
  </si>
  <si>
    <t>空気力学的翼根翼弦長</t>
    <rPh sb="0" eb="4">
      <t>クウキリキガク</t>
    </rPh>
    <rPh sb="4" eb="5">
      <t>テキ</t>
    </rPh>
    <rPh sb="5" eb="6">
      <t>ヨク</t>
    </rPh>
    <rPh sb="6" eb="7">
      <t>ネ</t>
    </rPh>
    <rPh sb="7" eb="10">
      <t>ヨクゲンチョウ</t>
    </rPh>
    <phoneticPr fontId="13"/>
  </si>
  <si>
    <t>βAR</t>
    <phoneticPr fontId="13"/>
  </si>
  <si>
    <t>CLα</t>
    <phoneticPr fontId="13"/>
  </si>
  <si>
    <t>Xcp/cr</t>
    <phoneticPr fontId="13"/>
  </si>
  <si>
    <t>CDW→矩形翼への近似AR</t>
    <rPh sb="4" eb="6">
      <t>クケイ</t>
    </rPh>
    <rPh sb="6" eb="7">
      <t>ヨク</t>
    </rPh>
    <rPh sb="9" eb="11">
      <t>キンジ</t>
    </rPh>
    <phoneticPr fontId="13"/>
  </si>
  <si>
    <t>Xcp</t>
    <phoneticPr fontId="13"/>
  </si>
  <si>
    <t>Xf</t>
    <phoneticPr fontId="13"/>
  </si>
  <si>
    <t>χ</t>
    <phoneticPr fontId="13"/>
  </si>
  <si>
    <t>←任意のマッハ数用</t>
    <rPh sb="1" eb="3">
      <t>ニンイ</t>
    </rPh>
    <rPh sb="7" eb="8">
      <t>スウ</t>
    </rPh>
    <rPh sb="8" eb="9">
      <t>ヨウ</t>
    </rPh>
    <phoneticPr fontId="13"/>
  </si>
  <si>
    <t>←M1.0は計算不能．平均いれてる</t>
    <rPh sb="6" eb="8">
      <t>ケイサン</t>
    </rPh>
    <rPh sb="8" eb="10">
      <t>フノウ</t>
    </rPh>
    <rPh sb="11" eb="13">
      <t>ヘイキン</t>
    </rPh>
    <phoneticPr fontId="13"/>
  </si>
  <si>
    <t>フィンのCPシフト</t>
    <phoneticPr fontId="13"/>
  </si>
  <si>
    <t>t/c</t>
    <phoneticPr fontId="13"/>
  </si>
  <si>
    <t>翼厚比_翼端翼弦長</t>
    <rPh sb="0" eb="3">
      <t>ヨクアツヒ</t>
    </rPh>
    <rPh sb="4" eb="6">
      <t>ヨクタン</t>
    </rPh>
    <rPh sb="6" eb="9">
      <t>ヨクゲンチョウ</t>
    </rPh>
    <phoneticPr fontId="13"/>
  </si>
  <si>
    <t>空気力学的考察(翼のみとして)</t>
    <rPh sb="0" eb="4">
      <t>クウキリキガク</t>
    </rPh>
    <rPh sb="4" eb="5">
      <t>テキ</t>
    </rPh>
    <rPh sb="5" eb="7">
      <t>コウサツ</t>
    </rPh>
    <rPh sb="8" eb="9">
      <t>ヨク</t>
    </rPh>
    <phoneticPr fontId="13"/>
  </si>
  <si>
    <t>乾燥質量</t>
    <rPh sb="0" eb="2">
      <t>カンソウ</t>
    </rPh>
    <rPh sb="2" eb="4">
      <t>シツリョウ</t>
    </rPh>
    <phoneticPr fontId="13"/>
  </si>
  <si>
    <t>ms</t>
    <phoneticPr fontId="13"/>
  </si>
  <si>
    <t>kg</t>
    <phoneticPr fontId="13"/>
  </si>
  <si>
    <t>できるだけ長く</t>
    <rPh sb="5" eb="6">
      <t>ナガ</t>
    </rPh>
    <phoneticPr fontId="13"/>
  </si>
  <si>
    <t>lf</t>
    <phoneticPr fontId="13"/>
  </si>
  <si>
    <t>燃料長さ</t>
    <rPh sb="0" eb="2">
      <t>ネンリョウ</t>
    </rPh>
    <rPh sb="2" eb="3">
      <t>ナガ</t>
    </rPh>
    <phoneticPr fontId="13"/>
  </si>
  <si>
    <t>1段目パラシュート抗力特性（風洞試験，過去の実験から求めた数値）</t>
    <rPh sb="1" eb="3">
      <t>ダンメ</t>
    </rPh>
    <rPh sb="9" eb="11">
      <t>コウリョク</t>
    </rPh>
    <rPh sb="11" eb="13">
      <t>トクセイ</t>
    </rPh>
    <rPh sb="14" eb="16">
      <t>フウドウ</t>
    </rPh>
    <rPh sb="16" eb="18">
      <t>シケン</t>
    </rPh>
    <rPh sb="19" eb="21">
      <t>カコ</t>
    </rPh>
    <rPh sb="22" eb="24">
      <t>ジッケン</t>
    </rPh>
    <rPh sb="26" eb="27">
      <t>モト</t>
    </rPh>
    <rPh sb="29" eb="31">
      <t>スウチ</t>
    </rPh>
    <phoneticPr fontId="13"/>
  </si>
  <si>
    <t>2段目パラシュート抗力特性（風洞試験，過去の実験から求めた数値）</t>
    <rPh sb="1" eb="3">
      <t>ダンメ</t>
    </rPh>
    <rPh sb="9" eb="13">
      <t>コウリョクトクセイ</t>
    </rPh>
    <rPh sb="14" eb="16">
      <t>フウドウ</t>
    </rPh>
    <rPh sb="16" eb="18">
      <t>シケン</t>
    </rPh>
    <rPh sb="19" eb="21">
      <t>カコ</t>
    </rPh>
    <rPh sb="22" eb="24">
      <t>ジッケン</t>
    </rPh>
    <rPh sb="26" eb="27">
      <t>モト</t>
    </rPh>
    <rPh sb="29" eb="31">
      <t>スウチ</t>
    </rPh>
    <phoneticPr fontId="13"/>
  </si>
  <si>
    <t>lcp</t>
    <phoneticPr fontId="13"/>
  </si>
  <si>
    <t>抗力係数</t>
    <rPh sb="0" eb="4">
      <t>コウリョクケイスウ</t>
    </rPh>
    <phoneticPr fontId="13"/>
  </si>
  <si>
    <t>mm</t>
    <phoneticPr fontId="13"/>
  </si>
  <si>
    <t>CP-CG</t>
    <phoneticPr fontId="13"/>
  </si>
  <si>
    <t>mm</t>
    <phoneticPr fontId="13"/>
  </si>
  <si>
    <t>lcp</t>
    <phoneticPr fontId="13"/>
  </si>
  <si>
    <t>-</t>
    <phoneticPr fontId="13"/>
  </si>
  <si>
    <t>rad^-1</t>
    <phoneticPr fontId="13"/>
  </si>
  <si>
    <t>Apparent Mass</t>
    <phoneticPr fontId="13"/>
  </si>
  <si>
    <t>Cs</t>
    <phoneticPr fontId="13"/>
  </si>
  <si>
    <t>Fst</t>
    <phoneticPr fontId="13"/>
  </si>
  <si>
    <t>Cs</t>
    <phoneticPr fontId="13"/>
  </si>
  <si>
    <t>Fst</t>
    <phoneticPr fontId="13"/>
  </si>
  <si>
    <t>GUI Plot</t>
    <phoneticPr fontId="13"/>
  </si>
  <si>
    <t>ノーズ</t>
    <phoneticPr fontId="13"/>
  </si>
  <si>
    <t>x</t>
    <phoneticPr fontId="13"/>
  </si>
  <si>
    <t>y</t>
    <phoneticPr fontId="13"/>
  </si>
  <si>
    <t>x</t>
    <phoneticPr fontId="13"/>
  </si>
  <si>
    <t>y</t>
    <phoneticPr fontId="13"/>
  </si>
  <si>
    <t>ボディ</t>
    <phoneticPr fontId="13"/>
  </si>
  <si>
    <t>ボートテイル</t>
    <phoneticPr fontId="13"/>
  </si>
  <si>
    <t>x</t>
    <phoneticPr fontId="13"/>
  </si>
  <si>
    <t>y</t>
    <phoneticPr fontId="13"/>
  </si>
  <si>
    <t>CDWグラフ</t>
    <phoneticPr fontId="13"/>
  </si>
  <si>
    <t>x</t>
    <phoneticPr fontId="13"/>
  </si>
  <si>
    <t>y</t>
    <phoneticPr fontId="13"/>
  </si>
  <si>
    <t>フィン1</t>
    <phoneticPr fontId="13"/>
  </si>
  <si>
    <t>x</t>
    <phoneticPr fontId="13"/>
  </si>
  <si>
    <t>y</t>
    <phoneticPr fontId="13"/>
  </si>
  <si>
    <t>フィン2</t>
    <phoneticPr fontId="13"/>
  </si>
  <si>
    <t>抗力係数見積もり</t>
    <rPh sb="0" eb="2">
      <t>コウリョク</t>
    </rPh>
    <rPh sb="2" eb="4">
      <t>ケイスウ</t>
    </rPh>
    <rPh sb="4" eb="6">
      <t>ミツ</t>
    </rPh>
    <phoneticPr fontId="13"/>
  </si>
  <si>
    <t>画面解像度：HD+以上に対応</t>
    <rPh sb="0" eb="5">
      <t>ガメンカイゾウド</t>
    </rPh>
    <rPh sb="9" eb="11">
      <t>イジョウ</t>
    </rPh>
    <rPh sb="12" eb="14">
      <t>タイオウ</t>
    </rPh>
    <phoneticPr fontId="13"/>
  </si>
  <si>
    <t>ロケット空力設計シート　Ver.1.1</t>
    <rPh sb="4" eb="6">
      <t>クウリキ</t>
    </rPh>
    <rPh sb="6" eb="8">
      <t>セッケイ</t>
    </rPh>
    <phoneticPr fontId="13"/>
  </si>
  <si>
    <r>
      <t>d</t>
    </r>
    <r>
      <rPr>
        <vertAlign val="subscript"/>
        <sz val="11"/>
        <color theme="1"/>
        <rFont val="ヒラギノ丸ゴ Pro W4"/>
        <family val="2"/>
        <charset val="128"/>
      </rPr>
      <t>br</t>
    </r>
    <phoneticPr fontId="13"/>
  </si>
  <si>
    <r>
      <t>L</t>
    </r>
    <r>
      <rPr>
        <vertAlign val="subscript"/>
        <sz val="11"/>
        <color theme="1"/>
        <rFont val="ヒラギノ丸ゴ Pro W4"/>
        <family val="2"/>
        <charset val="128"/>
      </rPr>
      <t>cb</t>
    </r>
    <phoneticPr fontId="13"/>
  </si>
  <si>
    <r>
      <t>L</t>
    </r>
    <r>
      <rPr>
        <vertAlign val="subscript"/>
        <sz val="11"/>
        <color theme="1"/>
        <rFont val="ヒラギノ丸ゴ Pro W4"/>
        <family val="2"/>
        <charset val="128"/>
      </rPr>
      <t>all</t>
    </r>
    <phoneticPr fontId="13"/>
  </si>
  <si>
    <r>
      <t>X</t>
    </r>
    <r>
      <rPr>
        <vertAlign val="subscript"/>
        <sz val="11"/>
        <color theme="1"/>
        <rFont val="ヒラギノ丸ゴ Pro W4"/>
        <family val="2"/>
        <charset val="128"/>
      </rPr>
      <t>f</t>
    </r>
    <phoneticPr fontId="13"/>
  </si>
  <si>
    <r>
      <t>C</t>
    </r>
    <r>
      <rPr>
        <vertAlign val="subscript"/>
        <sz val="11"/>
        <color theme="5"/>
        <rFont val="ヒラギノ丸ゴ Pro W4"/>
        <family val="2"/>
        <charset val="128"/>
      </rPr>
      <t>lp</t>
    </r>
    <phoneticPr fontId="13"/>
  </si>
  <si>
    <r>
      <t>L</t>
    </r>
    <r>
      <rPr>
        <vertAlign val="subscript"/>
        <sz val="11"/>
        <color theme="1"/>
        <rFont val="ヒラギノ丸ゴ Pro W4"/>
        <family val="2"/>
        <charset val="128"/>
      </rPr>
      <t>n</t>
    </r>
    <phoneticPr fontId="13"/>
  </si>
  <si>
    <r>
      <t>(C</t>
    </r>
    <r>
      <rPr>
        <vertAlign val="subscript"/>
        <sz val="11"/>
        <color theme="1"/>
        <rFont val="ヒラギノ丸ゴ Pro W4"/>
        <family val="2"/>
        <charset val="128"/>
      </rPr>
      <t>Nα</t>
    </r>
    <r>
      <rPr>
        <sz val="11"/>
        <color theme="1"/>
        <rFont val="ヒラギノ丸ゴ Pro W4"/>
        <family val="2"/>
        <charset val="128"/>
      </rPr>
      <t>)</t>
    </r>
    <r>
      <rPr>
        <vertAlign val="subscript"/>
        <sz val="11"/>
        <color theme="1"/>
        <rFont val="ヒラギノ丸ゴ Pro W4"/>
        <family val="2"/>
        <charset val="128"/>
      </rPr>
      <t>bt</t>
    </r>
    <phoneticPr fontId="13"/>
  </si>
  <si>
    <r>
      <t>C</t>
    </r>
    <r>
      <rPr>
        <vertAlign val="subscript"/>
        <sz val="11"/>
        <color theme="5"/>
        <rFont val="ヒラギノ丸ゴ Pro W4"/>
        <family val="2"/>
        <charset val="128"/>
      </rPr>
      <t>mq</t>
    </r>
    <phoneticPr fontId="13"/>
  </si>
  <si>
    <r>
      <t>A</t>
    </r>
    <r>
      <rPr>
        <vertAlign val="subscript"/>
        <sz val="11"/>
        <color theme="1"/>
        <rFont val="ヒラギノ丸ゴ Pro W4"/>
        <family val="2"/>
        <charset val="128"/>
      </rPr>
      <t>22bt</t>
    </r>
    <phoneticPr fontId="13"/>
  </si>
  <si>
    <r>
      <t>C</t>
    </r>
    <r>
      <rPr>
        <vertAlign val="subscript"/>
        <sz val="11"/>
        <color theme="5"/>
        <rFont val="ヒラギノ丸ゴ Pro W4"/>
        <family val="2"/>
        <charset val="128"/>
      </rPr>
      <t>D</t>
    </r>
    <phoneticPr fontId="13"/>
  </si>
  <si>
    <r>
      <t>X</t>
    </r>
    <r>
      <rPr>
        <vertAlign val="subscript"/>
        <sz val="11"/>
        <color theme="1"/>
        <rFont val="ヒラギノ丸ゴ Pro W4"/>
        <family val="2"/>
        <charset val="128"/>
      </rPr>
      <t>bt</t>
    </r>
    <phoneticPr fontId="13"/>
  </si>
  <si>
    <r>
      <t>C</t>
    </r>
    <r>
      <rPr>
        <vertAlign val="subscript"/>
        <sz val="11"/>
        <color theme="5"/>
        <rFont val="ヒラギノ丸ゴ Pro W4"/>
        <family val="2"/>
        <charset val="128"/>
      </rPr>
      <t>Nα</t>
    </r>
    <phoneticPr fontId="13"/>
  </si>
  <si>
    <r>
      <t>(C</t>
    </r>
    <r>
      <rPr>
        <vertAlign val="subscript"/>
        <sz val="11"/>
        <color theme="1"/>
        <rFont val="ヒラギノ丸ゴ Pro W4"/>
        <family val="2"/>
        <charset val="128"/>
      </rPr>
      <t>Nα</t>
    </r>
    <r>
      <rPr>
        <sz val="11"/>
        <color theme="1"/>
        <rFont val="ヒラギノ丸ゴ Pro W4"/>
        <family val="2"/>
        <charset val="128"/>
      </rPr>
      <t>)</t>
    </r>
    <r>
      <rPr>
        <vertAlign val="subscript"/>
        <sz val="11"/>
        <color theme="1"/>
        <rFont val="ヒラギノ丸ゴ Pro W4"/>
        <family val="2"/>
        <charset val="128"/>
      </rPr>
      <t>n</t>
    </r>
    <phoneticPr fontId="13"/>
  </si>
  <si>
    <r>
      <t>(C</t>
    </r>
    <r>
      <rPr>
        <vertAlign val="subscript"/>
        <sz val="11"/>
        <color theme="1"/>
        <rFont val="ヒラギノ丸ゴ Pro W4"/>
        <family val="2"/>
        <charset val="128"/>
      </rPr>
      <t>Nα</t>
    </r>
    <r>
      <rPr>
        <sz val="11"/>
        <color theme="1"/>
        <rFont val="ヒラギノ丸ゴ Pro W4"/>
        <family val="2"/>
        <charset val="128"/>
      </rPr>
      <t>)</t>
    </r>
    <r>
      <rPr>
        <vertAlign val="subscript"/>
        <sz val="11"/>
        <color theme="1"/>
        <rFont val="ヒラギノ丸ゴ Pro W4"/>
        <family val="2"/>
        <charset val="128"/>
      </rPr>
      <t>f</t>
    </r>
    <phoneticPr fontId="13"/>
  </si>
  <si>
    <r>
      <t>A</t>
    </r>
    <r>
      <rPr>
        <vertAlign val="subscript"/>
        <sz val="11"/>
        <color theme="1"/>
        <rFont val="ヒラギノ丸ゴ Pro W4"/>
        <family val="2"/>
        <charset val="128"/>
      </rPr>
      <t>22n</t>
    </r>
    <phoneticPr fontId="13"/>
  </si>
  <si>
    <r>
      <t>K</t>
    </r>
    <r>
      <rPr>
        <vertAlign val="subscript"/>
        <sz val="11"/>
        <color theme="1"/>
        <rFont val="ヒラギノ丸ゴ Pro W4"/>
        <family val="2"/>
        <charset val="128"/>
      </rPr>
      <t>fb</t>
    </r>
    <phoneticPr fontId="13"/>
  </si>
  <si>
    <r>
      <t>A</t>
    </r>
    <r>
      <rPr>
        <vertAlign val="subscript"/>
        <sz val="11"/>
        <color theme="1"/>
        <rFont val="ヒラギノ丸ゴ Pro W4"/>
        <family val="2"/>
        <charset val="128"/>
      </rPr>
      <t>22</t>
    </r>
    <phoneticPr fontId="13"/>
  </si>
  <si>
    <r>
      <t>X</t>
    </r>
    <r>
      <rPr>
        <vertAlign val="subscript"/>
        <sz val="11"/>
        <color theme="1"/>
        <rFont val="ヒラギノ丸ゴ Pro W4"/>
        <family val="2"/>
        <charset val="128"/>
      </rPr>
      <t>n</t>
    </r>
    <phoneticPr fontId="13"/>
  </si>
  <si>
    <r>
      <t>(C</t>
    </r>
    <r>
      <rPr>
        <vertAlign val="subscript"/>
        <sz val="11"/>
        <color theme="1"/>
        <rFont val="ヒラギノ丸ゴ Pro W4"/>
        <family val="2"/>
        <charset val="128"/>
      </rPr>
      <t>Nα</t>
    </r>
    <r>
      <rPr>
        <sz val="11"/>
        <color theme="1"/>
        <rFont val="ヒラギノ丸ゴ Pro W4"/>
        <family val="2"/>
        <charset val="128"/>
      </rPr>
      <t>)</t>
    </r>
    <r>
      <rPr>
        <vertAlign val="subscript"/>
        <sz val="11"/>
        <color theme="1"/>
        <rFont val="ヒラギノ丸ゴ Pro W4"/>
        <family val="2"/>
        <charset val="128"/>
      </rPr>
      <t>fb</t>
    </r>
    <phoneticPr fontId="13"/>
  </si>
  <si>
    <r>
      <t>A</t>
    </r>
    <r>
      <rPr>
        <vertAlign val="subscript"/>
        <sz val="11"/>
        <color theme="1"/>
        <rFont val="ヒラギノ丸ゴ Pro W4"/>
        <family val="2"/>
        <charset val="128"/>
      </rPr>
      <t>22f</t>
    </r>
    <phoneticPr fontId="13"/>
  </si>
  <si>
    <r>
      <t>C</t>
    </r>
    <r>
      <rPr>
        <vertAlign val="subscript"/>
        <sz val="11"/>
        <rFont val="ヒラギノ丸ゴ Pro W4"/>
        <family val="2"/>
        <charset val="128"/>
      </rPr>
      <t>mα</t>
    </r>
    <phoneticPr fontId="13"/>
  </si>
  <si>
    <r>
      <t>C</t>
    </r>
    <r>
      <rPr>
        <vertAlign val="subscript"/>
        <sz val="11"/>
        <rFont val="ヒラギノ丸ゴ Pro W4"/>
        <family val="2"/>
        <charset val="128"/>
      </rPr>
      <t>mq</t>
    </r>
    <phoneticPr fontId="13"/>
  </si>
  <si>
    <r>
      <rPr>
        <i/>
        <sz val="20"/>
        <color rgb="FFFF0000"/>
        <rFont val="ヒラギノ丸ゴ Pro W4"/>
        <family val="2"/>
        <charset val="128"/>
      </rPr>
      <t>成立仮定！！</t>
    </r>
    <r>
      <rPr>
        <i/>
        <sz val="20"/>
        <color theme="1"/>
        <rFont val="ヒラギノ丸ゴ Pro W4"/>
        <family val="2"/>
        <charset val="128"/>
      </rPr>
      <t xml:space="preserve">
・機体直径に対して充分に長いこと(細長い)
・薄い平板翼であること
・飛翔速度が音速以下であること
・迎角が小さいこと
・気流が急激に変化しないこと
・飛翔速度が15 m/sを超えていること</t>
    </r>
    <rPh sb="0" eb="2">
      <t>セイリツ</t>
    </rPh>
    <rPh sb="2" eb="4">
      <t>カテイ</t>
    </rPh>
    <rPh sb="8" eb="10">
      <t>キタイ</t>
    </rPh>
    <rPh sb="10" eb="12">
      <t>チョッケイ</t>
    </rPh>
    <rPh sb="13" eb="14">
      <t>タイ</t>
    </rPh>
    <rPh sb="16" eb="18">
      <t>ジュウブン</t>
    </rPh>
    <rPh sb="19" eb="20">
      <t>ナガ</t>
    </rPh>
    <rPh sb="24" eb="26">
      <t>ホソナガ</t>
    </rPh>
    <rPh sb="30" eb="31">
      <t>ウス</t>
    </rPh>
    <rPh sb="32" eb="34">
      <t>ヘイバン</t>
    </rPh>
    <rPh sb="34" eb="35">
      <t>ヨク</t>
    </rPh>
    <rPh sb="42" eb="44">
      <t>ヒショウ</t>
    </rPh>
    <rPh sb="44" eb="46">
      <t>ソクド</t>
    </rPh>
    <rPh sb="47" eb="49">
      <t>オンソク</t>
    </rPh>
    <rPh sb="49" eb="51">
      <t>イカ</t>
    </rPh>
    <rPh sb="58" eb="60">
      <t>ムカエカク</t>
    </rPh>
    <rPh sb="61" eb="62">
      <t>チイ</t>
    </rPh>
    <rPh sb="68" eb="70">
      <t>キリュウ</t>
    </rPh>
    <rPh sb="71" eb="73">
      <t>キュウゲキ</t>
    </rPh>
    <rPh sb="74" eb="76">
      <t>ヘンカ</t>
    </rPh>
    <rPh sb="83" eb="87">
      <t>ヒショウソクド</t>
    </rPh>
    <rPh sb="95" eb="96">
      <t>コ</t>
    </rPh>
    <phoneticPr fontId="13"/>
  </si>
  <si>
    <t>CG</t>
    <phoneticPr fontId="13"/>
  </si>
  <si>
    <t>CP</t>
    <phoneticPr fontId="13"/>
  </si>
  <si>
    <t>最高飛翔速度</t>
    <rPh sb="0" eb="2">
      <t>サイコウ</t>
    </rPh>
    <rPh sb="2" eb="4">
      <t>ヒショウ</t>
    </rPh>
    <rPh sb="4" eb="6">
      <t>ソクド</t>
    </rPh>
    <phoneticPr fontId="13"/>
  </si>
  <si>
    <t>V</t>
    <phoneticPr fontId="13"/>
  </si>
  <si>
    <t>m/s</t>
    <phoneticPr fontId="13"/>
  </si>
  <si>
    <t>a</t>
    <phoneticPr fontId="13"/>
  </si>
  <si>
    <t>deg</t>
    <phoneticPr fontId="13"/>
  </si>
  <si>
    <t>エンドカバー後端からのN2O酸化剤質量重心位置までの長さ</t>
    <rPh sb="6" eb="8">
      <t>コウタン</t>
    </rPh>
    <rPh sb="14" eb="17">
      <t>サンカザイ</t>
    </rPh>
    <rPh sb="17" eb="19">
      <t>シツリョウ</t>
    </rPh>
    <rPh sb="19" eb="23">
      <t>ジュウシンイチ</t>
    </rPh>
    <rPh sb="26" eb="27">
      <t>ナガ</t>
    </rPh>
    <phoneticPr fontId="13"/>
  </si>
  <si>
    <t>エンドカバー後端からの燃料重心位置までの長さ</t>
    <rPh sb="6" eb="8">
      <t>コウタン</t>
    </rPh>
    <rPh sb="11" eb="13">
      <t>ネンリョウ</t>
    </rPh>
    <rPh sb="13" eb="17">
      <t>ジュウシンイチ</t>
    </rPh>
    <rPh sb="20" eb="21">
      <t>ナガ</t>
    </rPh>
    <phoneticPr fontId="13"/>
  </si>
  <si>
    <t>ノーズコーン先端からエンドカバー後端(ボートテイルの場合はテイル後端)まで</t>
    <rPh sb="6" eb="8">
      <t>センタン</t>
    </rPh>
    <rPh sb="16" eb="18">
      <t>コウタン</t>
    </rPh>
    <rPh sb="26" eb="28">
      <t>バアイ</t>
    </rPh>
    <rPh sb="32" eb="34">
      <t>コウタン</t>
    </rPh>
    <phoneticPr fontId="13"/>
  </si>
  <si>
    <t>kg*m</t>
    <phoneticPr fontId="13"/>
  </si>
  <si>
    <t>kg*m</t>
    <phoneticPr fontId="13"/>
  </si>
  <si>
    <t>消費燃料質量</t>
    <rPh sb="0" eb="2">
      <t>ショウヒ</t>
    </rPh>
    <rPh sb="2" eb="4">
      <t>ネンリョウ</t>
    </rPh>
    <rPh sb="4" eb="6">
      <t>シツリョウ</t>
    </rPh>
    <phoneticPr fontId="13"/>
  </si>
  <si>
    <t>全燃料質量</t>
    <rPh sb="0" eb="1">
      <t>ゼン</t>
    </rPh>
    <rPh sb="1" eb="3">
      <t>ネンリョウ</t>
    </rPh>
    <rPh sb="3" eb="5">
      <t>シツリョウ</t>
    </rPh>
    <phoneticPr fontId="13"/>
  </si>
  <si>
    <t>推進剤を除いた機体質量（推進剤＝FGC＋酸化剤）(モータ自体は入れてね)</t>
    <rPh sb="0" eb="3">
      <t>スイシンザイ</t>
    </rPh>
    <rPh sb="4" eb="5">
      <t>ノゾ</t>
    </rPh>
    <rPh sb="7" eb="9">
      <t>キタイ</t>
    </rPh>
    <rPh sb="9" eb="11">
      <t>シツリョウ</t>
    </rPh>
    <rPh sb="12" eb="15">
      <t>スイシンザイ</t>
    </rPh>
    <rPh sb="20" eb="23">
      <t>サンカザイ</t>
    </rPh>
    <rPh sb="28" eb="30">
      <t>ジタイ</t>
    </rPh>
    <rPh sb="31" eb="32">
      <t>イ</t>
    </rPh>
    <phoneticPr fontId="13"/>
  </si>
  <si>
    <t>1段目分離時間（頂点分離なら記入せず）</t>
    <rPh sb="1" eb="3">
      <t>ダンメ</t>
    </rPh>
    <rPh sb="3" eb="5">
      <t>ブンリ</t>
    </rPh>
    <rPh sb="5" eb="7">
      <t>ジカン</t>
    </rPh>
    <rPh sb="8" eb="10">
      <t>チョウテン</t>
    </rPh>
    <rPh sb="10" eb="12">
      <t>ブンリ</t>
    </rPh>
    <rPh sb="14" eb="16">
      <t>キニュウ</t>
    </rPh>
    <phoneticPr fontId="13"/>
  </si>
  <si>
    <t>de</t>
    <phoneticPr fontId="13"/>
  </si>
  <si>
    <t>ノズル出口直径</t>
    <rPh sb="3" eb="5">
      <t>デグチ</t>
    </rPh>
    <rPh sb="5" eb="7">
      <t>チョッケイ</t>
    </rPh>
    <phoneticPr fontId="13"/>
  </si>
  <si>
    <t>mm</t>
    <phoneticPr fontId="13"/>
  </si>
  <si>
    <t>ノズル出口直径（推力補正用)</t>
    <rPh sb="3" eb="5">
      <t>デグチ</t>
    </rPh>
    <rPh sb="5" eb="7">
      <t>チョッケイ</t>
    </rPh>
    <rPh sb="8" eb="10">
      <t>スイリョク</t>
    </rPh>
    <rPh sb="10" eb="12">
      <t>ホセイ</t>
    </rPh>
    <rPh sb="12" eb="13">
      <t>ヨウ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</si>
</sst>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0_ "/>
    <numFmt numFmtId="177" formatCode="0.0_ "/>
    <numFmt numFmtId="178" formatCode="0.000"/>
    <numFmt numFmtId="179" formatCode="0.0"/>
    <numFmt numFmtId="180" formatCode="0.0000_);[Red]\(0.0000\)"/>
    <numFmt numFmtId="181" formatCode="0.000_ "/>
    <numFmt numFmtId="182" formatCode="0.000000_ "/>
    <numFmt numFmtId="183" formatCode="0.000_);[Red]\(0.000\)"/>
  </numFmts>
  <fonts count="3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8"/>
      <name val="ＭＳ Ｐゴシック"/>
      <family val="3"/>
      <charset val="128"/>
    </font>
    <font>
      <vertAlign val="superscript"/>
      <sz val="8"/>
      <name val="ＭＳ Ｐゴシック"/>
      <family val="3"/>
      <charset val="128"/>
    </font>
    <font>
      <i/>
      <sz val="10"/>
      <name val="ＭＳ Ｐ明朝"/>
      <family val="1"/>
      <charset val="128"/>
    </font>
    <font>
      <i/>
      <vertAlign val="subscript"/>
      <sz val="10"/>
      <name val="ＭＳ Ｐ明朝"/>
      <family val="1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i/>
      <sz val="8"/>
      <name val="Times New Roman"/>
      <family val="1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7.5"/>
      <color rgb="FF000000"/>
      <name val="MS PGothic"/>
      <family val="3"/>
    </font>
    <font>
      <sz val="11"/>
      <color theme="1"/>
      <name val="MS PGothic"/>
      <family val="3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12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i/>
      <sz val="20"/>
      <color theme="1"/>
      <name val="ヒラギノ丸ゴ Pro W4"/>
      <family val="2"/>
      <charset val="128"/>
    </font>
    <font>
      <sz val="11"/>
      <color theme="1"/>
      <name val="ヒラギノ丸ゴ Pro W4"/>
      <family val="2"/>
      <charset val="128"/>
    </font>
    <font>
      <vertAlign val="subscript"/>
      <sz val="11"/>
      <color theme="1"/>
      <name val="ヒラギノ丸ゴ Pro W4"/>
      <family val="2"/>
      <charset val="128"/>
    </font>
    <font>
      <sz val="11"/>
      <color theme="5"/>
      <name val="ヒラギノ丸ゴ Pro W4"/>
      <family val="2"/>
      <charset val="128"/>
    </font>
    <font>
      <vertAlign val="subscript"/>
      <sz val="11"/>
      <color theme="5"/>
      <name val="ヒラギノ丸ゴ Pro W4"/>
      <family val="2"/>
      <charset val="128"/>
    </font>
    <font>
      <sz val="11"/>
      <name val="ヒラギノ丸ゴ Pro W4"/>
      <family val="2"/>
      <charset val="128"/>
    </font>
    <font>
      <sz val="11"/>
      <color rgb="FF0070C0"/>
      <name val="ヒラギノ丸ゴ Pro W4"/>
      <family val="2"/>
      <charset val="128"/>
    </font>
    <font>
      <sz val="11"/>
      <color rgb="FFFF0000"/>
      <name val="ヒラギノ丸ゴ Pro W4"/>
      <family val="2"/>
      <charset val="128"/>
    </font>
    <font>
      <vertAlign val="subscript"/>
      <sz val="11"/>
      <name val="ヒラギノ丸ゴ Pro W4"/>
      <family val="2"/>
      <charset val="128"/>
    </font>
    <font>
      <i/>
      <sz val="20"/>
      <color rgb="FFFF0000"/>
      <name val="ヒラギノ丸ゴ Pro W4"/>
      <family val="2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C5C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/>
    <xf numFmtId="0" fontId="20" fillId="0" borderId="0">
      <alignment vertical="center"/>
    </xf>
    <xf numFmtId="9" fontId="20" fillId="0" borderId="0" applyFont="0" applyFill="0" applyBorder="0" applyAlignment="0" applyProtection="0">
      <alignment vertical="center"/>
    </xf>
  </cellStyleXfs>
  <cellXfs count="273">
    <xf numFmtId="0" fontId="0" fillId="0" borderId="0" xfId="0">
      <alignment vertical="center"/>
    </xf>
    <xf numFmtId="0" fontId="3" fillId="0" borderId="6" xfId="1" applyFont="1" applyBorder="1">
      <alignment vertical="center"/>
    </xf>
    <xf numFmtId="0" fontId="3" fillId="0" borderId="6" xfId="1" applyNumberFormat="1" applyFont="1" applyFill="1" applyBorder="1">
      <alignment vertical="center"/>
    </xf>
    <xf numFmtId="0" fontId="3" fillId="0" borderId="6" xfId="1" applyNumberFormat="1" applyFont="1" applyBorder="1">
      <alignment vertical="center"/>
    </xf>
    <xf numFmtId="0" fontId="7" fillId="0" borderId="6" xfId="1" applyFont="1" applyBorder="1">
      <alignment vertical="center"/>
    </xf>
    <xf numFmtId="0" fontId="10" fillId="2" borderId="5" xfId="1" applyFont="1" applyFill="1" applyBorder="1">
      <alignment vertical="center"/>
    </xf>
    <xf numFmtId="0" fontId="10" fillId="3" borderId="5" xfId="1" applyFont="1" applyFill="1" applyBorder="1">
      <alignment vertical="center"/>
    </xf>
    <xf numFmtId="0" fontId="10" fillId="2" borderId="5" xfId="1" applyNumberFormat="1" applyFont="1" applyFill="1" applyBorder="1">
      <alignment vertical="center"/>
    </xf>
    <xf numFmtId="0" fontId="10" fillId="4" borderId="5" xfId="1" applyFont="1" applyFill="1" applyBorder="1">
      <alignment vertical="center"/>
    </xf>
    <xf numFmtId="0" fontId="3" fillId="0" borderId="12" xfId="1" applyNumberFormat="1" applyFont="1" applyFill="1" applyBorder="1">
      <alignment vertical="center"/>
    </xf>
    <xf numFmtId="0" fontId="10" fillId="2" borderId="13" xfId="1" applyNumberFormat="1" applyFont="1" applyFill="1" applyBorder="1">
      <alignment vertical="center"/>
    </xf>
    <xf numFmtId="0" fontId="3" fillId="0" borderId="6" xfId="1" applyFont="1" applyFill="1" applyBorder="1">
      <alignment vertical="center"/>
    </xf>
    <xf numFmtId="0" fontId="10" fillId="0" borderId="0" xfId="1" applyFont="1" applyFill="1" applyBorder="1">
      <alignment vertical="center"/>
    </xf>
    <xf numFmtId="177" fontId="1" fillId="0" borderId="13" xfId="1" applyNumberFormat="1" applyFont="1" applyBorder="1">
      <alignment vertical="center"/>
    </xf>
    <xf numFmtId="176" fontId="1" fillId="0" borderId="5" xfId="1" applyNumberFormat="1" applyFont="1" applyBorder="1">
      <alignment vertical="center"/>
    </xf>
    <xf numFmtId="0" fontId="4" fillId="0" borderId="6" xfId="1" applyNumberFormat="1" applyFont="1" applyBorder="1">
      <alignment vertical="center"/>
    </xf>
    <xf numFmtId="0" fontId="10" fillId="0" borderId="5" xfId="1" applyFont="1" applyFill="1" applyBorder="1">
      <alignment vertical="center"/>
    </xf>
    <xf numFmtId="0" fontId="3" fillId="0" borderId="7" xfId="1" applyFont="1" applyBorder="1">
      <alignment vertical="center"/>
    </xf>
    <xf numFmtId="0" fontId="5" fillId="0" borderId="13" xfId="1" applyFont="1" applyFill="1" applyBorder="1">
      <alignment vertical="center"/>
    </xf>
    <xf numFmtId="0" fontId="10" fillId="0" borderId="5" xfId="1" applyFont="1" applyFill="1" applyBorder="1" applyAlignment="1">
      <alignment vertical="center"/>
    </xf>
    <xf numFmtId="178" fontId="11" fillId="6" borderId="5" xfId="4" applyNumberFormat="1" applyFont="1" applyFill="1" applyBorder="1" applyAlignment="1">
      <alignment vertical="center"/>
    </xf>
    <xf numFmtId="178" fontId="1" fillId="6" borderId="5" xfId="5" applyNumberFormat="1" applyFill="1" applyBorder="1">
      <alignment vertical="center"/>
    </xf>
    <xf numFmtId="2" fontId="11" fillId="6" borderId="5" xfId="4" applyNumberFormat="1" applyFont="1" applyFill="1" applyBorder="1" applyAlignment="1">
      <alignment vertical="center"/>
    </xf>
    <xf numFmtId="0" fontId="11" fillId="6" borderId="5" xfId="4" applyFont="1" applyFill="1" applyBorder="1" applyAlignment="1">
      <alignment vertical="center"/>
    </xf>
    <xf numFmtId="178" fontId="1" fillId="6" borderId="5" xfId="5" applyNumberFormat="1" applyFill="1" applyBorder="1" applyAlignment="1">
      <alignment horizontal="right" vertical="top"/>
    </xf>
    <xf numFmtId="0" fontId="15" fillId="0" borderId="11" xfId="0" applyFont="1" applyBorder="1">
      <alignment vertical="center"/>
    </xf>
    <xf numFmtId="0" fontId="5" fillId="0" borderId="0" xfId="1" applyFont="1" applyFill="1" applyBorder="1">
      <alignment vertical="center"/>
    </xf>
    <xf numFmtId="0" fontId="16" fillId="0" borderId="0" xfId="0" applyFont="1" applyFill="1" applyBorder="1" applyAlignment="1">
      <alignment horizontal="center" vertical="center" wrapText="1"/>
    </xf>
    <xf numFmtId="178" fontId="1" fillId="0" borderId="0" xfId="5" applyNumberFormat="1" applyFill="1" applyBorder="1" applyAlignment="1">
      <alignment horizontal="right" vertical="top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3" fillId="0" borderId="0" xfId="1" applyFont="1" applyFill="1" applyBorder="1">
      <alignment vertical="center"/>
    </xf>
    <xf numFmtId="0" fontId="5" fillId="0" borderId="16" xfId="1" applyNumberFormat="1" applyFont="1" applyFill="1" applyBorder="1">
      <alignment vertical="center"/>
    </xf>
    <xf numFmtId="0" fontId="5" fillId="0" borderId="16" xfId="1" applyFont="1" applyBorder="1">
      <alignment vertical="center"/>
    </xf>
    <xf numFmtId="0" fontId="5" fillId="0" borderId="15" xfId="1" applyNumberFormat="1" applyFont="1" applyFill="1" applyBorder="1">
      <alignment vertical="center"/>
    </xf>
    <xf numFmtId="0" fontId="0" fillId="0" borderId="14" xfId="0" applyBorder="1">
      <alignment vertical="center"/>
    </xf>
    <xf numFmtId="0" fontId="0" fillId="0" borderId="8" xfId="0" applyBorder="1">
      <alignment vertical="center"/>
    </xf>
    <xf numFmtId="0" fontId="10" fillId="3" borderId="10" xfId="1" applyFont="1" applyFill="1" applyBorder="1">
      <alignment vertical="center"/>
    </xf>
    <xf numFmtId="0" fontId="5" fillId="0" borderId="17" xfId="1" applyFont="1" applyBorder="1">
      <alignment vertical="center"/>
    </xf>
    <xf numFmtId="0" fontId="0" fillId="0" borderId="9" xfId="0" applyBorder="1">
      <alignment vertical="center"/>
    </xf>
    <xf numFmtId="179" fontId="11" fillId="6" borderId="5" xfId="4" applyNumberFormat="1" applyFont="1" applyFill="1" applyBorder="1" applyAlignment="1">
      <alignment vertical="center"/>
    </xf>
    <xf numFmtId="0" fontId="10" fillId="0" borderId="10" xfId="1" applyFont="1" applyFill="1" applyBorder="1">
      <alignment vertical="center"/>
    </xf>
    <xf numFmtId="178" fontId="1" fillId="6" borderId="10" xfId="5" applyNumberFormat="1" applyFill="1" applyBorder="1" applyAlignment="1">
      <alignment horizontal="right" vertical="top"/>
    </xf>
    <xf numFmtId="0" fontId="15" fillId="0" borderId="18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5" xfId="0" applyBorder="1">
      <alignment vertical="center"/>
    </xf>
    <xf numFmtId="0" fontId="5" fillId="0" borderId="27" xfId="1" applyFont="1" applyFill="1" applyBorder="1">
      <alignment vertical="center"/>
    </xf>
    <xf numFmtId="0" fontId="5" fillId="0" borderId="28" xfId="1" applyFont="1" applyFill="1" applyBorder="1">
      <alignment vertical="center"/>
    </xf>
    <xf numFmtId="0" fontId="5" fillId="0" borderId="28" xfId="1" applyFont="1" applyFill="1" applyBorder="1" applyAlignment="1">
      <alignment vertical="center"/>
    </xf>
    <xf numFmtId="0" fontId="5" fillId="0" borderId="29" xfId="1" applyFont="1" applyFill="1" applyBorder="1">
      <alignment vertical="center"/>
    </xf>
    <xf numFmtId="0" fontId="3" fillId="0" borderId="5" xfId="1" applyFont="1" applyFill="1" applyBorder="1">
      <alignment vertical="center"/>
    </xf>
    <xf numFmtId="0" fontId="5" fillId="0" borderId="5" xfId="1" applyFont="1" applyFill="1" applyBorder="1">
      <alignment vertical="center"/>
    </xf>
    <xf numFmtId="0" fontId="5" fillId="0" borderId="5" xfId="1" applyFont="1" applyFill="1" applyBorder="1" applyAlignment="1">
      <alignment vertical="center"/>
    </xf>
    <xf numFmtId="0" fontId="3" fillId="0" borderId="13" xfId="1" applyFont="1" applyFill="1" applyBorder="1">
      <alignment vertical="center"/>
    </xf>
    <xf numFmtId="0" fontId="10" fillId="0" borderId="13" xfId="1" applyFont="1" applyFill="1" applyBorder="1">
      <alignment vertical="center"/>
    </xf>
    <xf numFmtId="0" fontId="0" fillId="0" borderId="13" xfId="0" applyBorder="1">
      <alignment vertical="center"/>
    </xf>
    <xf numFmtId="0" fontId="3" fillId="0" borderId="10" xfId="1" applyFont="1" applyFill="1" applyBorder="1">
      <alignment vertical="center"/>
    </xf>
    <xf numFmtId="0" fontId="5" fillId="0" borderId="10" xfId="1" applyFont="1" applyFill="1" applyBorder="1">
      <alignment vertical="center"/>
    </xf>
    <xf numFmtId="0" fontId="0" fillId="0" borderId="10" xfId="0" applyBorder="1">
      <alignment vertical="center"/>
    </xf>
    <xf numFmtId="0" fontId="5" fillId="0" borderId="23" xfId="1" applyFont="1" applyFill="1" applyBorder="1">
      <alignment vertical="center"/>
    </xf>
    <xf numFmtId="0" fontId="17" fillId="11" borderId="30" xfId="0" applyFont="1" applyFill="1" applyBorder="1" applyAlignment="1">
      <alignment horizontal="center" vertical="center" wrapText="1"/>
    </xf>
    <xf numFmtId="0" fontId="18" fillId="10" borderId="30" xfId="0" applyFont="1" applyFill="1" applyBorder="1" applyAlignment="1">
      <alignment horizontal="center" vertical="center" wrapText="1"/>
    </xf>
    <xf numFmtId="180" fontId="1" fillId="6" borderId="13" xfId="2" applyNumberFormat="1" applyFill="1" applyBorder="1">
      <alignment vertical="center"/>
    </xf>
    <xf numFmtId="0" fontId="19" fillId="0" borderId="5" xfId="0" applyFont="1" applyBorder="1">
      <alignment vertical="center"/>
    </xf>
    <xf numFmtId="0" fontId="0" fillId="0" borderId="5" xfId="0" applyFill="1" applyBorder="1">
      <alignment vertical="center"/>
    </xf>
    <xf numFmtId="178" fontId="1" fillId="6" borderId="5" xfId="2" applyNumberFormat="1" applyFill="1" applyBorder="1">
      <alignment vertical="center"/>
    </xf>
    <xf numFmtId="178" fontId="1" fillId="6" borderId="5" xfId="5" applyNumberFormat="1" applyFill="1" applyBorder="1" applyAlignment="1">
      <alignment vertical="center"/>
    </xf>
    <xf numFmtId="0" fontId="9" fillId="0" borderId="1" xfId="1" applyFont="1" applyBorder="1" applyAlignment="1">
      <alignment vertical="center"/>
    </xf>
    <xf numFmtId="0" fontId="19" fillId="0" borderId="5" xfId="0" applyFont="1" applyFill="1" applyBorder="1">
      <alignment vertical="center"/>
    </xf>
    <xf numFmtId="0" fontId="0" fillId="0" borderId="31" xfId="0" applyBorder="1">
      <alignment vertical="center"/>
    </xf>
    <xf numFmtId="0" fontId="19" fillId="0" borderId="31" xfId="0" applyFont="1" applyFill="1" applyBorder="1">
      <alignment vertical="center"/>
    </xf>
    <xf numFmtId="0" fontId="5" fillId="0" borderId="31" xfId="1" applyFont="1" applyFill="1" applyBorder="1">
      <alignment vertical="center"/>
    </xf>
    <xf numFmtId="0" fontId="0" fillId="0" borderId="31" xfId="0" applyFill="1" applyBorder="1">
      <alignment vertical="center"/>
    </xf>
    <xf numFmtId="0" fontId="0" fillId="0" borderId="26" xfId="0" applyBorder="1">
      <alignment vertical="center"/>
    </xf>
    <xf numFmtId="0" fontId="10" fillId="13" borderId="5" xfId="1" applyNumberFormat="1" applyFont="1" applyFill="1" applyBorder="1">
      <alignment vertical="center"/>
    </xf>
    <xf numFmtId="0" fontId="10" fillId="13" borderId="5" xfId="1" applyFont="1" applyFill="1" applyBorder="1">
      <alignment vertical="center"/>
    </xf>
    <xf numFmtId="0" fontId="0" fillId="6" borderId="13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31" xfId="0" applyFill="1" applyBorder="1">
      <alignment vertical="center"/>
    </xf>
    <xf numFmtId="0" fontId="23" fillId="0" borderId="0" xfId="9" applyFont="1"/>
    <xf numFmtId="0" fontId="22" fillId="0" borderId="0" xfId="9"/>
    <xf numFmtId="0" fontId="23" fillId="0" borderId="5" xfId="9" applyFont="1" applyBorder="1"/>
    <xf numFmtId="0" fontId="24" fillId="0" borderId="13" xfId="9" applyFont="1" applyBorder="1" applyAlignment="1">
      <alignment horizontal="center"/>
    </xf>
    <xf numFmtId="0" fontId="23" fillId="0" borderId="13" xfId="9" applyFont="1" applyBorder="1"/>
    <xf numFmtId="0" fontId="23" fillId="0" borderId="14" xfId="9" applyFont="1" applyBorder="1"/>
    <xf numFmtId="0" fontId="23" fillId="0" borderId="12" xfId="9" applyFont="1" applyBorder="1"/>
    <xf numFmtId="0" fontId="24" fillId="0" borderId="7" xfId="9" applyFont="1" applyBorder="1" applyAlignment="1">
      <alignment horizontal="right"/>
    </xf>
    <xf numFmtId="0" fontId="24" fillId="0" borderId="10" xfId="9" applyFont="1" applyBorder="1" applyAlignment="1">
      <alignment horizontal="right"/>
    </xf>
    <xf numFmtId="0" fontId="24" fillId="0" borderId="9" xfId="9" applyFont="1" applyBorder="1" applyAlignment="1">
      <alignment horizontal="right"/>
    </xf>
    <xf numFmtId="0" fontId="24" fillId="14" borderId="12" xfId="9" applyFont="1" applyFill="1" applyBorder="1"/>
    <xf numFmtId="0" fontId="24" fillId="14" borderId="13" xfId="9" applyFont="1" applyFill="1" applyBorder="1"/>
    <xf numFmtId="0" fontId="24" fillId="14" borderId="15" xfId="9" applyFont="1" applyFill="1" applyBorder="1"/>
    <xf numFmtId="181" fontId="23" fillId="0" borderId="14" xfId="9" applyNumberFormat="1" applyFont="1" applyBorder="1"/>
    <xf numFmtId="181" fontId="23" fillId="0" borderId="12" xfId="9" applyNumberFormat="1" applyFont="1" applyBorder="1"/>
    <xf numFmtId="0" fontId="24" fillId="14" borderId="6" xfId="9" applyFont="1" applyFill="1" applyBorder="1"/>
    <xf numFmtId="0" fontId="24" fillId="14" borderId="5" xfId="9" applyFont="1" applyFill="1" applyBorder="1"/>
    <xf numFmtId="0" fontId="24" fillId="14" borderId="16" xfId="9" applyFont="1" applyFill="1" applyBorder="1"/>
    <xf numFmtId="181" fontId="23" fillId="0" borderId="8" xfId="9" applyNumberFormat="1" applyFont="1" applyBorder="1"/>
    <xf numFmtId="181" fontId="23" fillId="0" borderId="6" xfId="9" applyNumberFormat="1" applyFont="1" applyBorder="1"/>
    <xf numFmtId="0" fontId="24" fillId="14" borderId="7" xfId="9" applyFont="1" applyFill="1" applyBorder="1"/>
    <xf numFmtId="0" fontId="24" fillId="14" borderId="10" xfId="9" applyFont="1" applyFill="1" applyBorder="1"/>
    <xf numFmtId="0" fontId="24" fillId="14" borderId="17" xfId="9" applyFont="1" applyFill="1" applyBorder="1"/>
    <xf numFmtId="0" fontId="23" fillId="0" borderId="10" xfId="9" applyFont="1" applyBorder="1"/>
    <xf numFmtId="181" fontId="23" fillId="0" borderId="9" xfId="9" applyNumberFormat="1" applyFont="1" applyBorder="1"/>
    <xf numFmtId="181" fontId="23" fillId="0" borderId="7" xfId="9" applyNumberFormat="1" applyFont="1" applyBorder="1"/>
    <xf numFmtId="181" fontId="23" fillId="0" borderId="0" xfId="9" applyNumberFormat="1" applyFont="1"/>
    <xf numFmtId="0" fontId="23" fillId="0" borderId="36" xfId="9" applyFont="1" applyBorder="1"/>
    <xf numFmtId="0" fontId="23" fillId="0" borderId="37" xfId="9" applyFont="1" applyBorder="1"/>
    <xf numFmtId="0" fontId="24" fillId="0" borderId="38" xfId="9" applyFont="1" applyBorder="1"/>
    <xf numFmtId="0" fontId="23" fillId="0" borderId="39" xfId="9" applyFont="1" applyFill="1" applyBorder="1"/>
    <xf numFmtId="0" fontId="24" fillId="0" borderId="12" xfId="9" applyFont="1" applyBorder="1"/>
    <xf numFmtId="0" fontId="23" fillId="0" borderId="40" xfId="9" applyFont="1" applyFill="1" applyBorder="1" applyAlignment="1">
      <alignment horizontal="left"/>
    </xf>
    <xf numFmtId="0" fontId="23" fillId="0" borderId="41" xfId="9" applyFont="1" applyFill="1" applyBorder="1"/>
    <xf numFmtId="0" fontId="23" fillId="14" borderId="7" xfId="9" applyFont="1" applyFill="1" applyBorder="1"/>
    <xf numFmtId="0" fontId="23" fillId="0" borderId="9" xfId="9" applyFont="1" applyBorder="1"/>
    <xf numFmtId="0" fontId="23" fillId="0" borderId="5" xfId="9" applyFont="1" applyBorder="1" applyAlignment="1">
      <alignment horizontal="left"/>
    </xf>
    <xf numFmtId="0" fontId="23" fillId="0" borderId="0" xfId="9" applyFont="1" applyBorder="1"/>
    <xf numFmtId="0" fontId="23" fillId="0" borderId="42" xfId="9" applyFont="1" applyBorder="1"/>
    <xf numFmtId="0" fontId="23" fillId="0" borderId="43" xfId="9" applyFont="1" applyBorder="1"/>
    <xf numFmtId="0" fontId="23" fillId="0" borderId="44" xfId="9" applyFont="1" applyBorder="1"/>
    <xf numFmtId="0" fontId="23" fillId="0" borderId="5" xfId="9" applyFont="1" applyFill="1" applyBorder="1"/>
    <xf numFmtId="0" fontId="23" fillId="0" borderId="34" xfId="9" applyFont="1" applyBorder="1"/>
    <xf numFmtId="0" fontId="23" fillId="0" borderId="34" xfId="9" applyFont="1" applyFill="1" applyBorder="1"/>
    <xf numFmtId="180" fontId="0" fillId="0" borderId="0" xfId="0" applyNumberFormat="1">
      <alignment vertical="center"/>
    </xf>
    <xf numFmtId="182" fontId="0" fillId="0" borderId="0" xfId="0" applyNumberFormat="1">
      <alignment vertical="center"/>
    </xf>
    <xf numFmtId="177" fontId="1" fillId="6" borderId="5" xfId="1" applyNumberFormat="1" applyFont="1" applyFill="1" applyBorder="1">
      <alignment vertical="center"/>
    </xf>
    <xf numFmtId="176" fontId="1" fillId="6" borderId="5" xfId="1" applyNumberFormat="1" applyFill="1" applyBorder="1">
      <alignment vertical="center"/>
    </xf>
    <xf numFmtId="177" fontId="1" fillId="6" borderId="5" xfId="1" applyNumberFormat="1" applyFill="1" applyBorder="1">
      <alignment vertical="center"/>
    </xf>
    <xf numFmtId="176" fontId="1" fillId="6" borderId="5" xfId="1" applyNumberFormat="1" applyFont="1" applyFill="1" applyBorder="1">
      <alignment vertical="center"/>
    </xf>
    <xf numFmtId="177" fontId="1" fillId="6" borderId="10" xfId="1" applyNumberFormat="1" applyFont="1" applyFill="1" applyBorder="1">
      <alignment vertical="center"/>
    </xf>
    <xf numFmtId="183" fontId="0" fillId="0" borderId="0" xfId="0" applyNumberFormat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181" fontId="0" fillId="0" borderId="47" xfId="0" applyNumberFormat="1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181" fontId="0" fillId="0" borderId="50" xfId="0" applyNumberFormat="1" applyBorder="1">
      <alignment vertical="center"/>
    </xf>
    <xf numFmtId="0" fontId="0" fillId="0" borderId="0" xfId="0" applyBorder="1">
      <alignment vertical="center"/>
    </xf>
    <xf numFmtId="0" fontId="26" fillId="0" borderId="18" xfId="9" applyFont="1" applyBorder="1" applyAlignment="1">
      <alignment vertical="center"/>
    </xf>
    <xf numFmtId="0" fontId="26" fillId="0" borderId="32" xfId="9" applyFont="1" applyBorder="1" applyAlignment="1">
      <alignment vertical="center"/>
    </xf>
    <xf numFmtId="0" fontId="26" fillId="0" borderId="33" xfId="9" applyFont="1" applyBorder="1" applyAlignment="1">
      <alignment vertical="center"/>
    </xf>
    <xf numFmtId="0" fontId="26" fillId="0" borderId="0" xfId="9" applyFont="1" applyAlignment="1">
      <alignment vertical="center"/>
    </xf>
    <xf numFmtId="0" fontId="26" fillId="0" borderId="4" xfId="9" applyFont="1" applyBorder="1" applyAlignment="1">
      <alignment vertical="center"/>
    </xf>
    <xf numFmtId="0" fontId="26" fillId="0" borderId="0" xfId="9" applyFont="1" applyBorder="1" applyAlignment="1">
      <alignment vertical="center"/>
    </xf>
    <xf numFmtId="0" fontId="26" fillId="0" borderId="19" xfId="9" applyFont="1" applyBorder="1" applyAlignment="1">
      <alignment vertical="center"/>
    </xf>
    <xf numFmtId="0" fontId="26" fillId="0" borderId="5" xfId="9" applyFont="1" applyBorder="1" applyAlignment="1">
      <alignment vertical="center"/>
    </xf>
    <xf numFmtId="0" fontId="26" fillId="14" borderId="5" xfId="9" applyFont="1" applyFill="1" applyBorder="1" applyAlignment="1">
      <alignment vertical="center"/>
    </xf>
    <xf numFmtId="0" fontId="26" fillId="0" borderId="5" xfId="9" applyFont="1" applyFill="1" applyBorder="1" applyAlignment="1">
      <alignment vertical="center"/>
    </xf>
    <xf numFmtId="0" fontId="26" fillId="5" borderId="6" xfId="9" applyFont="1" applyFill="1" applyBorder="1" applyAlignment="1">
      <alignment vertical="center"/>
    </xf>
    <xf numFmtId="0" fontId="26" fillId="5" borderId="5" xfId="9" applyFont="1" applyFill="1" applyBorder="1" applyAlignment="1">
      <alignment vertical="center"/>
    </xf>
    <xf numFmtId="0" fontId="26" fillId="5" borderId="8" xfId="9" applyFont="1" applyFill="1" applyBorder="1" applyAlignment="1">
      <alignment vertical="center"/>
    </xf>
    <xf numFmtId="0" fontId="26" fillId="0" borderId="49" xfId="9" applyFont="1" applyBorder="1" applyAlignment="1">
      <alignment vertical="center"/>
    </xf>
    <xf numFmtId="0" fontId="26" fillId="0" borderId="50" xfId="9" applyFont="1" applyBorder="1" applyAlignment="1">
      <alignment vertical="center"/>
    </xf>
    <xf numFmtId="0" fontId="26" fillId="0" borderId="44" xfId="9" applyFont="1" applyBorder="1" applyAlignment="1">
      <alignment vertical="center"/>
    </xf>
    <xf numFmtId="0" fontId="28" fillId="0" borderId="6" xfId="9" applyFont="1" applyBorder="1" applyAlignment="1">
      <alignment vertical="center"/>
    </xf>
    <xf numFmtId="0" fontId="28" fillId="0" borderId="5" xfId="9" applyFont="1" applyBorder="1" applyAlignment="1">
      <alignment vertical="center"/>
    </xf>
    <xf numFmtId="0" fontId="28" fillId="0" borderId="8" xfId="9" applyFont="1" applyBorder="1" applyAlignment="1">
      <alignment vertical="center"/>
    </xf>
    <xf numFmtId="0" fontId="26" fillId="15" borderId="16" xfId="9" applyFont="1" applyFill="1" applyBorder="1" applyAlignment="1">
      <alignment vertical="center"/>
    </xf>
    <xf numFmtId="0" fontId="26" fillId="15" borderId="45" xfId="9" applyFont="1" applyFill="1" applyBorder="1" applyAlignment="1">
      <alignment vertical="center"/>
    </xf>
    <xf numFmtId="0" fontId="26" fillId="15" borderId="35" xfId="9" applyFont="1" applyFill="1" applyBorder="1" applyAlignment="1">
      <alignment vertical="center"/>
    </xf>
    <xf numFmtId="0" fontId="26" fillId="0" borderId="43" xfId="9" applyFont="1" applyBorder="1" applyAlignment="1">
      <alignment vertical="center"/>
    </xf>
    <xf numFmtId="0" fontId="26" fillId="0" borderId="42" xfId="9" applyFont="1" applyBorder="1" applyAlignment="1">
      <alignment vertical="center"/>
    </xf>
    <xf numFmtId="0" fontId="28" fillId="0" borderId="7" xfId="9" applyFont="1" applyBorder="1" applyAlignment="1">
      <alignment vertical="center"/>
    </xf>
    <xf numFmtId="0" fontId="28" fillId="0" borderId="10" xfId="9" applyFont="1" applyBorder="1" applyAlignment="1">
      <alignment vertical="center"/>
    </xf>
    <xf numFmtId="0" fontId="28" fillId="0" borderId="9" xfId="9" applyFont="1" applyBorder="1" applyAlignment="1">
      <alignment vertical="center"/>
    </xf>
    <xf numFmtId="0" fontId="30" fillId="0" borderId="0" xfId="9" applyFont="1" applyBorder="1" applyAlignment="1">
      <alignment vertical="center"/>
    </xf>
    <xf numFmtId="0" fontId="30" fillId="0" borderId="5" xfId="9" applyFont="1" applyBorder="1" applyAlignment="1">
      <alignment vertical="center"/>
    </xf>
    <xf numFmtId="0" fontId="26" fillId="0" borderId="46" xfId="9" applyFont="1" applyBorder="1" applyAlignment="1">
      <alignment vertical="center"/>
    </xf>
    <xf numFmtId="0" fontId="26" fillId="0" borderId="47" xfId="9" applyFont="1" applyBorder="1" applyAlignment="1">
      <alignment vertical="center"/>
    </xf>
    <xf numFmtId="0" fontId="26" fillId="0" borderId="48" xfId="9" applyFont="1" applyBorder="1" applyAlignment="1">
      <alignment vertical="center"/>
    </xf>
    <xf numFmtId="0" fontId="31" fillId="0" borderId="5" xfId="9" applyFont="1" applyBorder="1" applyAlignment="1">
      <alignment vertical="center"/>
    </xf>
    <xf numFmtId="0" fontId="32" fillId="16" borderId="43" xfId="9" applyFont="1" applyFill="1" applyBorder="1" applyAlignment="1">
      <alignment vertical="center"/>
    </xf>
    <xf numFmtId="0" fontId="32" fillId="16" borderId="0" xfId="9" applyFont="1" applyFill="1" applyBorder="1" applyAlignment="1">
      <alignment vertical="center"/>
    </xf>
    <xf numFmtId="0" fontId="32" fillId="16" borderId="42" xfId="9" applyFont="1" applyFill="1" applyBorder="1" applyAlignment="1">
      <alignment vertical="center"/>
    </xf>
    <xf numFmtId="0" fontId="28" fillId="0" borderId="36" xfId="9" applyFont="1" applyBorder="1" applyAlignment="1">
      <alignment vertical="center"/>
    </xf>
    <xf numFmtId="0" fontId="28" fillId="0" borderId="37" xfId="9" applyFont="1" applyBorder="1" applyAlignment="1">
      <alignment vertical="center"/>
    </xf>
    <xf numFmtId="0" fontId="28" fillId="0" borderId="38" xfId="9" applyFont="1" applyBorder="1" applyAlignment="1">
      <alignment vertical="center"/>
    </xf>
    <xf numFmtId="0" fontId="26" fillId="0" borderId="20" xfId="9" applyFont="1" applyBorder="1" applyAlignment="1">
      <alignment vertical="center"/>
    </xf>
    <xf numFmtId="0" fontId="26" fillId="0" borderId="21" xfId="9" applyFont="1" applyBorder="1" applyAlignment="1">
      <alignment vertical="center"/>
    </xf>
    <xf numFmtId="0" fontId="26" fillId="0" borderId="22" xfId="9" applyFont="1" applyBorder="1" applyAlignment="1">
      <alignment vertical="center"/>
    </xf>
    <xf numFmtId="0" fontId="31" fillId="0" borderId="43" xfId="9" applyFont="1" applyBorder="1" applyAlignment="1">
      <alignment vertical="center"/>
    </xf>
    <xf numFmtId="0" fontId="31" fillId="0" borderId="0" xfId="9" applyFont="1" applyBorder="1" applyAlignment="1">
      <alignment vertical="center"/>
    </xf>
    <xf numFmtId="0" fontId="31" fillId="0" borderId="49" xfId="9" applyFont="1" applyBorder="1" applyAlignment="1">
      <alignment vertical="center"/>
    </xf>
    <xf numFmtId="0" fontId="31" fillId="0" borderId="50" xfId="9" applyFont="1" applyBorder="1" applyAlignment="1">
      <alignment vertical="center"/>
    </xf>
    <xf numFmtId="9" fontId="26" fillId="0" borderId="0" xfId="11" applyFont="1" applyAlignment="1">
      <alignment vertical="center"/>
    </xf>
    <xf numFmtId="9" fontId="26" fillId="0" borderId="0" xfId="11" applyFont="1" applyBorder="1" applyAlignment="1">
      <alignment vertical="center"/>
    </xf>
    <xf numFmtId="0" fontId="23" fillId="0" borderId="35" xfId="9" applyFont="1" applyFill="1" applyBorder="1"/>
    <xf numFmtId="176" fontId="1" fillId="6" borderId="5" xfId="5" applyNumberFormat="1" applyFill="1" applyBorder="1" applyAlignment="1">
      <alignment horizontal="right" vertical="top"/>
    </xf>
    <xf numFmtId="0" fontId="0" fillId="0" borderId="0" xfId="0" applyBorder="1" applyAlignment="1">
      <alignment horizontal="left" vertical="center"/>
    </xf>
    <xf numFmtId="0" fontId="16" fillId="9" borderId="6" xfId="0" applyFont="1" applyFill="1" applyBorder="1" applyAlignment="1">
      <alignment horizontal="center" vertical="center"/>
    </xf>
    <xf numFmtId="0" fontId="16" fillId="12" borderId="6" xfId="0" applyFont="1" applyFill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0" fontId="16" fillId="8" borderId="6" xfId="0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 wrapText="1"/>
    </xf>
    <xf numFmtId="0" fontId="16" fillId="8" borderId="10" xfId="0" applyFont="1" applyFill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6" fillId="12" borderId="5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5" fillId="7" borderId="24" xfId="0" applyFont="1" applyFill="1" applyBorder="1" applyAlignment="1">
      <alignment horizontal="center" vertical="center"/>
    </xf>
    <xf numFmtId="0" fontId="15" fillId="7" borderId="25" xfId="0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0" fontId="15" fillId="7" borderId="18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20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0" fontId="16" fillId="8" borderId="20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26" fillId="0" borderId="2" xfId="9" applyFont="1" applyBorder="1" applyAlignment="1">
      <alignment horizontal="center" vertical="center"/>
    </xf>
    <xf numFmtId="0" fontId="26" fillId="0" borderId="3" xfId="9" applyFont="1" applyBorder="1" applyAlignment="1">
      <alignment horizontal="center" vertical="center"/>
    </xf>
    <xf numFmtId="0" fontId="26" fillId="0" borderId="1" xfId="9" applyFont="1" applyBorder="1" applyAlignment="1">
      <alignment horizontal="center" vertical="center"/>
    </xf>
    <xf numFmtId="0" fontId="26" fillId="0" borderId="32" xfId="9" applyFont="1" applyBorder="1" applyAlignment="1">
      <alignment horizontal="center" vertical="center"/>
    </xf>
    <xf numFmtId="0" fontId="26" fillId="0" borderId="46" xfId="9" applyFont="1" applyBorder="1" applyAlignment="1">
      <alignment horizontal="center" vertical="center"/>
    </xf>
    <xf numFmtId="0" fontId="26" fillId="0" borderId="47" xfId="9" applyFont="1" applyBorder="1" applyAlignment="1">
      <alignment horizontal="center" vertical="center"/>
    </xf>
    <xf numFmtId="0" fontId="26" fillId="0" borderId="48" xfId="9" applyFont="1" applyBorder="1" applyAlignment="1">
      <alignment horizontal="center" vertical="center"/>
    </xf>
    <xf numFmtId="0" fontId="26" fillId="0" borderId="5" xfId="9" applyFont="1" applyBorder="1" applyAlignment="1">
      <alignment horizontal="center" vertical="center"/>
    </xf>
    <xf numFmtId="0" fontId="26" fillId="5" borderId="51" xfId="9" applyFont="1" applyFill="1" applyBorder="1" applyAlignment="1">
      <alignment horizontal="left" vertical="center"/>
    </xf>
    <xf numFmtId="0" fontId="26" fillId="5" borderId="52" xfId="9" applyFont="1" applyFill="1" applyBorder="1" applyAlignment="1">
      <alignment horizontal="left" vertical="center"/>
    </xf>
    <xf numFmtId="0" fontId="26" fillId="5" borderId="53" xfId="9" applyFont="1" applyFill="1" applyBorder="1" applyAlignment="1">
      <alignment horizontal="left" vertical="center"/>
    </xf>
    <xf numFmtId="0" fontId="26" fillId="0" borderId="4" xfId="9" applyFont="1" applyBorder="1" applyAlignment="1">
      <alignment horizontal="center" vertical="center"/>
    </xf>
    <xf numFmtId="0" fontId="26" fillId="0" borderId="0" xfId="9" applyFont="1" applyBorder="1" applyAlignment="1">
      <alignment horizontal="center" vertical="center"/>
    </xf>
    <xf numFmtId="0" fontId="26" fillId="0" borderId="16" xfId="9" applyFont="1" applyBorder="1" applyAlignment="1">
      <alignment horizontal="center" vertical="center"/>
    </xf>
    <xf numFmtId="0" fontId="26" fillId="0" borderId="45" xfId="9" applyFont="1" applyBorder="1" applyAlignment="1">
      <alignment horizontal="center" vertical="center"/>
    </xf>
    <xf numFmtId="0" fontId="26" fillId="0" borderId="35" xfId="9" applyFont="1" applyBorder="1" applyAlignment="1">
      <alignment horizontal="center" vertical="center"/>
    </xf>
    <xf numFmtId="0" fontId="26" fillId="0" borderId="19" xfId="9" applyFont="1" applyBorder="1" applyAlignment="1">
      <alignment horizontal="center" vertical="center"/>
    </xf>
    <xf numFmtId="0" fontId="26" fillId="0" borderId="43" xfId="9" applyFont="1" applyBorder="1" applyAlignment="1">
      <alignment horizontal="center" vertical="center"/>
    </xf>
    <xf numFmtId="0" fontId="26" fillId="0" borderId="49" xfId="9" applyFont="1" applyBorder="1" applyAlignment="1">
      <alignment horizontal="center" vertical="center"/>
    </xf>
    <xf numFmtId="0" fontId="25" fillId="0" borderId="18" xfId="9" applyFont="1" applyBorder="1" applyAlignment="1">
      <alignment horizontal="left" vertical="center" wrapText="1"/>
    </xf>
    <xf numFmtId="0" fontId="25" fillId="0" borderId="32" xfId="9" applyFont="1" applyBorder="1" applyAlignment="1">
      <alignment horizontal="left" vertical="center" wrapText="1"/>
    </xf>
    <xf numFmtId="0" fontId="25" fillId="0" borderId="33" xfId="9" applyFont="1" applyBorder="1" applyAlignment="1">
      <alignment horizontal="left" vertical="center" wrapText="1"/>
    </xf>
    <xf numFmtId="0" fontId="25" fillId="0" borderId="4" xfId="9" applyFont="1" applyBorder="1" applyAlignment="1">
      <alignment horizontal="left" vertical="center" wrapText="1"/>
    </xf>
    <xf numFmtId="0" fontId="25" fillId="0" borderId="0" xfId="9" applyFont="1" applyBorder="1" applyAlignment="1">
      <alignment horizontal="left" vertical="center" wrapText="1"/>
    </xf>
    <xf numFmtId="0" fontId="25" fillId="0" borderId="19" xfId="9" applyFont="1" applyBorder="1" applyAlignment="1">
      <alignment horizontal="left" vertical="center" wrapText="1"/>
    </xf>
    <xf numFmtId="0" fontId="25" fillId="0" borderId="20" xfId="9" applyFont="1" applyBorder="1" applyAlignment="1">
      <alignment horizontal="left" vertical="center" wrapText="1"/>
    </xf>
    <xf numFmtId="0" fontId="25" fillId="0" borderId="21" xfId="9" applyFont="1" applyBorder="1" applyAlignment="1">
      <alignment horizontal="left" vertical="center" wrapText="1"/>
    </xf>
    <xf numFmtId="0" fontId="25" fillId="0" borderId="22" xfId="9" applyFont="1" applyBorder="1" applyAlignment="1">
      <alignment horizontal="left" vertical="center" wrapText="1"/>
    </xf>
    <xf numFmtId="0" fontId="24" fillId="0" borderId="16" xfId="9" applyFont="1" applyBorder="1" applyAlignment="1">
      <alignment horizontal="center"/>
    </xf>
    <xf numFmtId="0" fontId="24" fillId="0" borderId="45" xfId="9" applyFont="1" applyBorder="1" applyAlignment="1">
      <alignment horizontal="center"/>
    </xf>
    <xf numFmtId="0" fontId="24" fillId="0" borderId="35" xfId="9" applyFont="1" applyBorder="1" applyAlignment="1">
      <alignment horizontal="center"/>
    </xf>
    <xf numFmtId="0" fontId="24" fillId="0" borderId="0" xfId="9" applyFont="1" applyAlignment="1">
      <alignment horizontal="center"/>
    </xf>
    <xf numFmtId="0" fontId="24" fillId="0" borderId="12" xfId="9" applyFont="1" applyBorder="1" applyAlignment="1">
      <alignment horizontal="center"/>
    </xf>
    <xf numFmtId="0" fontId="24" fillId="0" borderId="13" xfId="9" applyFont="1" applyBorder="1" applyAlignment="1">
      <alignment horizontal="center"/>
    </xf>
    <xf numFmtId="0" fontId="23" fillId="0" borderId="16" xfId="9" applyFont="1" applyFill="1" applyBorder="1" applyAlignment="1">
      <alignment horizontal="center"/>
    </xf>
    <xf numFmtId="0" fontId="23" fillId="0" borderId="45" xfId="9" applyFont="1" applyFill="1" applyBorder="1" applyAlignment="1">
      <alignment horizontal="center"/>
    </xf>
    <xf numFmtId="0" fontId="23" fillId="0" borderId="35" xfId="9" applyFont="1" applyFill="1" applyBorder="1" applyAlignment="1">
      <alignment horizontal="center"/>
    </xf>
  </cellXfs>
  <cellStyles count="12">
    <cellStyle name="パーセント" xfId="11" builtinId="5"/>
    <cellStyle name="標準" xfId="0" builtinId="0"/>
    <cellStyle name="標準 13 2 2" xfId="8"/>
    <cellStyle name="標準 2" xfId="2"/>
    <cellStyle name="標準 2 2" xfId="3"/>
    <cellStyle name="標準 2 3" xfId="10"/>
    <cellStyle name="標準 3" xfId="5"/>
    <cellStyle name="標準 3 10" xfId="7"/>
    <cellStyle name="標準 4" xfId="6"/>
    <cellStyle name="標準 5" xfId="1"/>
    <cellStyle name="標準 6" xfId="9"/>
    <cellStyle name="標準_軌道計算_1" xfId="4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'空力設計(設計)_後退翼'!$BB$13:$BC$13</c:f>
              <c:strCache>
                <c:ptCount val="1"/>
                <c:pt idx="0">
                  <c:v>ボディ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'空力設計(設計)_後退翼'!$BB$15:$BB$19</c:f>
              <c:numCache>
                <c:formatCode>General</c:formatCode>
                <c:ptCount val="5"/>
                <c:pt idx="0">
                  <c:v>444.96199999999999</c:v>
                </c:pt>
                <c:pt idx="1">
                  <c:v>2077</c:v>
                </c:pt>
                <c:pt idx="2">
                  <c:v>2077</c:v>
                </c:pt>
                <c:pt idx="3">
                  <c:v>444.96199999999999</c:v>
                </c:pt>
                <c:pt idx="4">
                  <c:v>444.96199999999999</c:v>
                </c:pt>
              </c:numCache>
            </c:numRef>
          </c:xVal>
          <c:yVal>
            <c:numRef>
              <c:f>'空力設計(設計)_後退翼'!$BC$15:$BC$19</c:f>
              <c:numCache>
                <c:formatCode>General</c:formatCode>
                <c:ptCount val="5"/>
                <c:pt idx="0">
                  <c:v>59</c:v>
                </c:pt>
                <c:pt idx="1">
                  <c:v>59</c:v>
                </c:pt>
                <c:pt idx="2">
                  <c:v>-59</c:v>
                </c:pt>
                <c:pt idx="3">
                  <c:v>-59</c:v>
                </c:pt>
                <c:pt idx="4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0-458D-A885-2A05D719A986}"/>
            </c:ext>
          </c:extLst>
        </c:ser>
        <c:ser>
          <c:idx val="2"/>
          <c:order val="1"/>
          <c:tx>
            <c:strRef>
              <c:f>'空力設計(設計)_後退翼'!$BB$5:$BC$5</c:f>
              <c:strCache>
                <c:ptCount val="1"/>
                <c:pt idx="0">
                  <c:v>ノーズ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'空力設計(設計)_後退翼'!$BB$7:$BB$10</c:f>
              <c:numCache>
                <c:formatCode>General</c:formatCode>
                <c:ptCount val="4"/>
                <c:pt idx="0">
                  <c:v>0</c:v>
                </c:pt>
                <c:pt idx="1">
                  <c:v>444.96199999999999</c:v>
                </c:pt>
                <c:pt idx="2">
                  <c:v>444.96199999999999</c:v>
                </c:pt>
                <c:pt idx="3">
                  <c:v>0</c:v>
                </c:pt>
              </c:numCache>
            </c:numRef>
          </c:xVal>
          <c:yVal>
            <c:numRef>
              <c:f>'空力設計(設計)_後退翼'!$BC$7:$BC$10</c:f>
              <c:numCache>
                <c:formatCode>General</c:formatCode>
                <c:ptCount val="4"/>
                <c:pt idx="0">
                  <c:v>0</c:v>
                </c:pt>
                <c:pt idx="1">
                  <c:v>59</c:v>
                </c:pt>
                <c:pt idx="2">
                  <c:v>-59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20-458D-A885-2A05D719A986}"/>
            </c:ext>
          </c:extLst>
        </c:ser>
        <c:ser>
          <c:idx val="3"/>
          <c:order val="2"/>
          <c:tx>
            <c:strRef>
              <c:f>'空力設計(設計)_後退翼'!$BB$21:$BC$21</c:f>
              <c:strCache>
                <c:ptCount val="1"/>
                <c:pt idx="0">
                  <c:v>ボートテイル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'空力設計(設計)_後退翼'!$BB$23:$BB$27</c:f>
              <c:numCache>
                <c:formatCode>General</c:formatCode>
                <c:ptCount val="5"/>
                <c:pt idx="0">
                  <c:v>2077</c:v>
                </c:pt>
                <c:pt idx="1">
                  <c:v>2142</c:v>
                </c:pt>
                <c:pt idx="2">
                  <c:v>2142</c:v>
                </c:pt>
                <c:pt idx="3">
                  <c:v>2077</c:v>
                </c:pt>
                <c:pt idx="4">
                  <c:v>2077</c:v>
                </c:pt>
              </c:numCache>
            </c:numRef>
          </c:xVal>
          <c:yVal>
            <c:numRef>
              <c:f>'空力設計(設計)_後退翼'!$BC$23:$BC$27</c:f>
              <c:numCache>
                <c:formatCode>General</c:formatCode>
                <c:ptCount val="5"/>
                <c:pt idx="0">
                  <c:v>59</c:v>
                </c:pt>
                <c:pt idx="1">
                  <c:v>47.538746253949775</c:v>
                </c:pt>
                <c:pt idx="2">
                  <c:v>-47.538746253949775</c:v>
                </c:pt>
                <c:pt idx="3">
                  <c:v>-59</c:v>
                </c:pt>
                <c:pt idx="4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20-458D-A885-2A05D719A986}"/>
            </c:ext>
          </c:extLst>
        </c:ser>
        <c:ser>
          <c:idx val="4"/>
          <c:order val="3"/>
          <c:tx>
            <c:strRef>
              <c:f>'空力設計(設計)_後退翼'!$BB$38:$BC$38</c:f>
              <c:strCache>
                <c:ptCount val="1"/>
                <c:pt idx="0">
                  <c:v>フィン2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'空力設計(設計)_後退翼'!$BB$40:$BB$45</c:f>
              <c:numCache>
                <c:formatCode>General</c:formatCode>
                <c:ptCount val="6"/>
                <c:pt idx="0">
                  <c:v>1857</c:v>
                </c:pt>
                <c:pt idx="1">
                  <c:v>2077</c:v>
                </c:pt>
                <c:pt idx="2">
                  <c:v>2077</c:v>
                </c:pt>
                <c:pt idx="3">
                  <c:v>2127</c:v>
                </c:pt>
                <c:pt idx="4">
                  <c:v>2007</c:v>
                </c:pt>
                <c:pt idx="5">
                  <c:v>1857</c:v>
                </c:pt>
              </c:numCache>
            </c:numRef>
          </c:xVal>
          <c:yVal>
            <c:numRef>
              <c:f>'空力設計(設計)_後退翼'!$BC$40:$BC$45</c:f>
              <c:numCache>
                <c:formatCode>General</c:formatCode>
                <c:ptCount val="6"/>
                <c:pt idx="0">
                  <c:v>-59</c:v>
                </c:pt>
                <c:pt idx="1">
                  <c:v>-59</c:v>
                </c:pt>
                <c:pt idx="2">
                  <c:v>-59</c:v>
                </c:pt>
                <c:pt idx="3">
                  <c:v>-164</c:v>
                </c:pt>
                <c:pt idx="4">
                  <c:v>-164</c:v>
                </c:pt>
                <c:pt idx="5">
                  <c:v>-59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20-458D-A885-2A05D719A986}"/>
            </c:ext>
          </c:extLst>
        </c:ser>
        <c:ser>
          <c:idx val="0"/>
          <c:order val="4"/>
          <c:tx>
            <c:strRef>
              <c:f>'空力設計(設計)_後退翼'!$BB$29:$BC$29</c:f>
              <c:strCache>
                <c:ptCount val="1"/>
                <c:pt idx="0">
                  <c:v>フィン1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'空力設計(設計)_後退翼'!$BB$31:$BB$36</c:f>
              <c:numCache>
                <c:formatCode>General</c:formatCode>
                <c:ptCount val="6"/>
                <c:pt idx="0">
                  <c:v>1857</c:v>
                </c:pt>
                <c:pt idx="1">
                  <c:v>2077</c:v>
                </c:pt>
                <c:pt idx="2">
                  <c:v>2077</c:v>
                </c:pt>
                <c:pt idx="3">
                  <c:v>2127</c:v>
                </c:pt>
                <c:pt idx="4">
                  <c:v>2007</c:v>
                </c:pt>
                <c:pt idx="5">
                  <c:v>1857</c:v>
                </c:pt>
              </c:numCache>
            </c:numRef>
          </c:xVal>
          <c:yVal>
            <c:numRef>
              <c:f>'空力設計(設計)_後退翼'!$BC$31:$BC$36</c:f>
              <c:numCache>
                <c:formatCode>General</c:formatCode>
                <c:ptCount val="6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164</c:v>
                </c:pt>
                <c:pt idx="4">
                  <c:v>164</c:v>
                </c:pt>
                <c:pt idx="5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20-458D-A885-2A05D719A986}"/>
            </c:ext>
          </c:extLst>
        </c:ser>
        <c:ser>
          <c:idx val="5"/>
          <c:order val="5"/>
          <c:tx>
            <c:strRef>
              <c:f>'空力設計(設計)_後退翼'!$BE$5:$BF$5</c:f>
              <c:strCache>
                <c:ptCount val="1"/>
                <c:pt idx="0">
                  <c:v>全備重心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'空力設計(設計)_後退翼'!$BE$7</c:f>
              <c:numCache>
                <c:formatCode>General</c:formatCode>
                <c:ptCount val="1"/>
                <c:pt idx="0">
                  <c:v>1261.0437426833105</c:v>
                </c:pt>
              </c:numCache>
            </c:numRef>
          </c:xVal>
          <c:yVal>
            <c:numRef>
              <c:f>'空力設計(設計)_後退翼'!$BF$7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20-458D-A885-2A05D719A986}"/>
            </c:ext>
          </c:extLst>
        </c:ser>
        <c:ser>
          <c:idx val="6"/>
          <c:order val="6"/>
          <c:tx>
            <c:strRef>
              <c:f>'空力設計(設計)_後退翼'!$BE$9:$BF$9</c:f>
              <c:strCache>
                <c:ptCount val="1"/>
                <c:pt idx="0">
                  <c:v>圧力中心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'空力設計(設計)_後退翼'!$BE$11</c:f>
              <c:numCache>
                <c:formatCode>General</c:formatCode>
                <c:ptCount val="1"/>
                <c:pt idx="0">
                  <c:v>1554.0433503458937</c:v>
                </c:pt>
              </c:numCache>
            </c:numRef>
          </c:xVal>
          <c:yVal>
            <c:numRef>
              <c:f>'空力設計(設計)_後退翼'!$BF$11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20-458D-A885-2A05D719A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83152"/>
        <c:axId val="360483712"/>
      </c:scatterChart>
      <c:valAx>
        <c:axId val="360483152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483712"/>
        <c:crosses val="autoZero"/>
        <c:crossBetween val="midCat"/>
        <c:majorUnit val="200"/>
      </c:valAx>
      <c:valAx>
        <c:axId val="360483712"/>
        <c:scaling>
          <c:orientation val="minMax"/>
          <c:max val="4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483152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'空力設計(設計)_後退翼'!$BE$25:$BE$37</c:f>
              <c:numCache>
                <c:formatCode>General</c:formatCode>
                <c:ptCount val="13"/>
                <c:pt idx="0">
                  <c:v>0</c:v>
                </c:pt>
                <c:pt idx="1">
                  <c:v>59</c:v>
                </c:pt>
                <c:pt idx="2">
                  <c:v>164</c:v>
                </c:pt>
                <c:pt idx="3">
                  <c:v>164</c:v>
                </c:pt>
                <c:pt idx="4">
                  <c:v>59</c:v>
                </c:pt>
                <c:pt idx="5">
                  <c:v>59</c:v>
                </c:pt>
                <c:pt idx="6">
                  <c:v>0</c:v>
                </c:pt>
                <c:pt idx="7">
                  <c:v>-59</c:v>
                </c:pt>
                <c:pt idx="8">
                  <c:v>-59</c:v>
                </c:pt>
                <c:pt idx="9">
                  <c:v>-164</c:v>
                </c:pt>
                <c:pt idx="10">
                  <c:v>-164</c:v>
                </c:pt>
                <c:pt idx="11">
                  <c:v>-59</c:v>
                </c:pt>
                <c:pt idx="12">
                  <c:v>0</c:v>
                </c:pt>
              </c:numCache>
            </c:numRef>
          </c:xVal>
          <c:yVal>
            <c:numRef>
              <c:f>'空力設計(設計)_後退翼'!$BF$25:$BF$37</c:f>
              <c:numCache>
                <c:formatCode>General</c:formatCode>
                <c:ptCount val="13"/>
                <c:pt idx="0">
                  <c:v>0</c:v>
                </c:pt>
                <c:pt idx="1">
                  <c:v>-84.285714285714292</c:v>
                </c:pt>
                <c:pt idx="2">
                  <c:v>-234.28571428571428</c:v>
                </c:pt>
                <c:pt idx="3">
                  <c:v>-354.28571428571428</c:v>
                </c:pt>
                <c:pt idx="4">
                  <c:v>-304.28571428571428</c:v>
                </c:pt>
                <c:pt idx="5">
                  <c:v>-304.28571428571428</c:v>
                </c:pt>
                <c:pt idx="6">
                  <c:v>-304.28571428571428</c:v>
                </c:pt>
                <c:pt idx="7">
                  <c:v>-304.28571428571428</c:v>
                </c:pt>
                <c:pt idx="8">
                  <c:v>-304.28571428571428</c:v>
                </c:pt>
                <c:pt idx="9">
                  <c:v>-354.28571428571428</c:v>
                </c:pt>
                <c:pt idx="10">
                  <c:v>-234.28571428571428</c:v>
                </c:pt>
                <c:pt idx="11">
                  <c:v>-84.285714285714292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1-448E-A149-094322135693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'空力設計(設計)_後退翼'!$BE$39:$BE$40</c:f>
              <c:numCache>
                <c:formatCode>General</c:formatCode>
                <c:ptCount val="2"/>
                <c:pt idx="0">
                  <c:v>59</c:v>
                </c:pt>
                <c:pt idx="1">
                  <c:v>59</c:v>
                </c:pt>
              </c:numCache>
            </c:numRef>
          </c:xVal>
          <c:yVal>
            <c:numRef>
              <c:f>'空力設計(設計)_後退翼'!$BF$39:$BF$40</c:f>
              <c:numCache>
                <c:formatCode>General</c:formatCode>
                <c:ptCount val="2"/>
                <c:pt idx="0">
                  <c:v>-84.285714285714292</c:v>
                </c:pt>
                <c:pt idx="1">
                  <c:v>-304.28571428571428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1-448E-A149-094322135693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'空力設計(設計)_後退翼'!$BE$41:$BE$42</c:f>
              <c:numCache>
                <c:formatCode>General</c:formatCode>
                <c:ptCount val="2"/>
                <c:pt idx="0">
                  <c:v>-59</c:v>
                </c:pt>
                <c:pt idx="1">
                  <c:v>-59</c:v>
                </c:pt>
              </c:numCache>
            </c:numRef>
          </c:xVal>
          <c:yVal>
            <c:numRef>
              <c:f>'空力設計(設計)_後退翼'!$BF$41:$BF$42</c:f>
              <c:numCache>
                <c:formatCode>General</c:formatCode>
                <c:ptCount val="2"/>
                <c:pt idx="0">
                  <c:v>-84.285714285714292</c:v>
                </c:pt>
                <c:pt idx="1">
                  <c:v>-304.28571428571428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1-448E-A149-094322135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12000"/>
        <c:axId val="361512560"/>
      </c:scatterChart>
      <c:valAx>
        <c:axId val="36151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1512560"/>
        <c:crosses val="autoZero"/>
        <c:crossBetween val="midCat"/>
      </c:valAx>
      <c:valAx>
        <c:axId val="3615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151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'空力設計(実測)_後退翼'!$BB$13:$BC$13</c:f>
              <c:strCache>
                <c:ptCount val="1"/>
                <c:pt idx="0">
                  <c:v>ボディ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'空力設計(実測)_後退翼'!$BB$15:$BB$19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'空力設計(実測)_後退翼'!$BC$15:$BC$19</c:f>
              <c:numCache>
                <c:formatCode>General</c:formatCode>
                <c:ptCount val="5"/>
                <c:pt idx="0">
                  <c:v>59</c:v>
                </c:pt>
                <c:pt idx="1">
                  <c:v>59</c:v>
                </c:pt>
                <c:pt idx="2">
                  <c:v>-59</c:v>
                </c:pt>
                <c:pt idx="3">
                  <c:v>-59</c:v>
                </c:pt>
                <c:pt idx="4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4-4CC7-8B60-A69D88D146C0}"/>
            </c:ext>
          </c:extLst>
        </c:ser>
        <c:ser>
          <c:idx val="2"/>
          <c:order val="1"/>
          <c:tx>
            <c:strRef>
              <c:f>'空力設計(実測)_後退翼'!$BB$5:$BC$5</c:f>
              <c:strCache>
                <c:ptCount val="1"/>
                <c:pt idx="0">
                  <c:v>ノーズ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'空力設計(実測)_後退翼'!$BB$7:$BB$10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'空力設計(実測)_後退翼'!$BC$7:$BC$10</c:f>
              <c:numCache>
                <c:formatCode>General</c:formatCode>
                <c:ptCount val="4"/>
                <c:pt idx="0">
                  <c:v>0</c:v>
                </c:pt>
                <c:pt idx="1">
                  <c:v>59</c:v>
                </c:pt>
                <c:pt idx="2">
                  <c:v>-59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F4-4CC7-8B60-A69D88D146C0}"/>
            </c:ext>
          </c:extLst>
        </c:ser>
        <c:ser>
          <c:idx val="3"/>
          <c:order val="2"/>
          <c:tx>
            <c:strRef>
              <c:f>'空力設計(実測)_後退翼'!$BB$21:$BC$21</c:f>
              <c:strCache>
                <c:ptCount val="1"/>
                <c:pt idx="0">
                  <c:v>ボートテイル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'空力設計(実測)_後退翼'!$BB$23:$BB$27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'空力設計(実測)_後退翼'!$BC$23:$BC$27</c:f>
              <c:numCache>
                <c:formatCode>General</c:formatCode>
                <c:ptCount val="5"/>
                <c:pt idx="0">
                  <c:v>59</c:v>
                </c:pt>
                <c:pt idx="1">
                  <c:v>0</c:v>
                </c:pt>
                <c:pt idx="2">
                  <c:v>0</c:v>
                </c:pt>
                <c:pt idx="3">
                  <c:v>-59</c:v>
                </c:pt>
                <c:pt idx="4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4-4CC7-8B60-A69D88D146C0}"/>
            </c:ext>
          </c:extLst>
        </c:ser>
        <c:ser>
          <c:idx val="4"/>
          <c:order val="3"/>
          <c:tx>
            <c:strRef>
              <c:f>'空力設計(実測)_後退翼'!$BB$38:$BC$38</c:f>
              <c:strCache>
                <c:ptCount val="1"/>
                <c:pt idx="0">
                  <c:v>フィン2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'空力設計(実測)_後退翼'!$BB$40:$BB$45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'空力設計(実測)_後退翼'!$BC$40:$BC$45</c:f>
              <c:numCache>
                <c:formatCode>General</c:formatCode>
                <c:ptCount val="6"/>
                <c:pt idx="0">
                  <c:v>-59</c:v>
                </c:pt>
                <c:pt idx="1">
                  <c:v>-59</c:v>
                </c:pt>
                <c:pt idx="2">
                  <c:v>-88.368487091204798</c:v>
                </c:pt>
                <c:pt idx="3">
                  <c:v>-179</c:v>
                </c:pt>
                <c:pt idx="4">
                  <c:v>-179</c:v>
                </c:pt>
                <c:pt idx="5">
                  <c:v>-59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F4-4CC7-8B60-A69D88D146C0}"/>
            </c:ext>
          </c:extLst>
        </c:ser>
        <c:ser>
          <c:idx val="0"/>
          <c:order val="4"/>
          <c:tx>
            <c:strRef>
              <c:f>'空力設計(実測)_後退翼'!$BB$29:$BC$29</c:f>
              <c:strCache>
                <c:ptCount val="1"/>
                <c:pt idx="0">
                  <c:v>フィン1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'空力設計(実測)_後退翼'!$BB$31:$BB$36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'空力設計(実測)_後退翼'!$BC$31:$BC$36</c:f>
              <c:numCache>
                <c:formatCode>General</c:formatCode>
                <c:ptCount val="6"/>
                <c:pt idx="0">
                  <c:v>59</c:v>
                </c:pt>
                <c:pt idx="1">
                  <c:v>59</c:v>
                </c:pt>
                <c:pt idx="2">
                  <c:v>88.368487091204798</c:v>
                </c:pt>
                <c:pt idx="3">
                  <c:v>179</c:v>
                </c:pt>
                <c:pt idx="4">
                  <c:v>179</c:v>
                </c:pt>
                <c:pt idx="5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F4-4CC7-8B60-A69D88D146C0}"/>
            </c:ext>
          </c:extLst>
        </c:ser>
        <c:ser>
          <c:idx val="5"/>
          <c:order val="5"/>
          <c:tx>
            <c:strRef>
              <c:f>'空力設計(実測)_後退翼'!$BE$5:$BF$5</c:f>
              <c:strCache>
                <c:ptCount val="1"/>
                <c:pt idx="0">
                  <c:v>全備重心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'空力設計(実測)_後退翼'!$BE$7</c:f>
              <c:numCache>
                <c:formatCode>General</c:formatCode>
                <c:ptCount val="1"/>
                <c:pt idx="0">
                  <c:v>2.0921648128282349</c:v>
                </c:pt>
              </c:numCache>
            </c:numRef>
          </c:xVal>
          <c:yVal>
            <c:numRef>
              <c:f>'空力設計(実測)_後退翼'!$BF$7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F4-4CC7-8B60-A69D88D146C0}"/>
            </c:ext>
          </c:extLst>
        </c:ser>
        <c:ser>
          <c:idx val="6"/>
          <c:order val="6"/>
          <c:tx>
            <c:strRef>
              <c:f>'空力設計(実測)_後退翼'!$BE$9:$BF$9</c:f>
              <c:strCache>
                <c:ptCount val="1"/>
                <c:pt idx="0">
                  <c:v>圧力中心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'空力設計(実測)_後退翼'!$BE$11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'空力設計(実測)_後退翼'!$BF$11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F4-4CC7-8B60-A69D88D14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19840"/>
        <c:axId val="361520400"/>
      </c:scatterChart>
      <c:valAx>
        <c:axId val="361519840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1520400"/>
        <c:crosses val="autoZero"/>
        <c:crossBetween val="midCat"/>
        <c:majorUnit val="200"/>
      </c:valAx>
      <c:valAx>
        <c:axId val="361520400"/>
        <c:scaling>
          <c:orientation val="minMax"/>
          <c:max val="4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1519840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'空力設計(実測)_後退翼'!$BE$25:$BE$37</c:f>
              <c:numCache>
                <c:formatCode>General</c:formatCode>
                <c:ptCount val="13"/>
                <c:pt idx="0">
                  <c:v>0</c:v>
                </c:pt>
                <c:pt idx="1">
                  <c:v>59</c:v>
                </c:pt>
                <c:pt idx="2">
                  <c:v>179</c:v>
                </c:pt>
                <c:pt idx="3">
                  <c:v>179</c:v>
                </c:pt>
                <c:pt idx="4">
                  <c:v>88.368487091204798</c:v>
                </c:pt>
                <c:pt idx="5">
                  <c:v>59</c:v>
                </c:pt>
                <c:pt idx="6">
                  <c:v>0</c:v>
                </c:pt>
                <c:pt idx="7">
                  <c:v>-59</c:v>
                </c:pt>
                <c:pt idx="8">
                  <c:v>-88.368487091204798</c:v>
                </c:pt>
                <c:pt idx="9">
                  <c:v>-179</c:v>
                </c:pt>
                <c:pt idx="10">
                  <c:v>-179</c:v>
                </c:pt>
                <c:pt idx="11">
                  <c:v>-59</c:v>
                </c:pt>
                <c:pt idx="12">
                  <c:v>0</c:v>
                </c:pt>
              </c:numCache>
            </c:numRef>
          </c:xVal>
          <c:yVal>
            <c:numRef>
              <c:f>'空力設計(実測)_後退翼'!$BF$25:$BF$37</c:f>
              <c:numCache>
                <c:formatCode>General</c:formatCode>
                <c:ptCount val="13"/>
                <c:pt idx="0">
                  <c:v>0</c:v>
                </c:pt>
                <c:pt idx="1">
                  <c:v>-71.291666666666657</c:v>
                </c:pt>
                <c:pt idx="2">
                  <c:v>-216.29166666666666</c:v>
                </c:pt>
                <c:pt idx="3">
                  <c:v>-336.29166666666663</c:v>
                </c:pt>
                <c:pt idx="4">
                  <c:v>-306.29166666666663</c:v>
                </c:pt>
                <c:pt idx="5">
                  <c:v>-271.29166666666663</c:v>
                </c:pt>
                <c:pt idx="6">
                  <c:v>-271.29166666666663</c:v>
                </c:pt>
                <c:pt idx="7">
                  <c:v>-271.29166666666663</c:v>
                </c:pt>
                <c:pt idx="8">
                  <c:v>-306.29166666666663</c:v>
                </c:pt>
                <c:pt idx="9">
                  <c:v>-336.29166666666663</c:v>
                </c:pt>
                <c:pt idx="10">
                  <c:v>-216.29166666666666</c:v>
                </c:pt>
                <c:pt idx="11">
                  <c:v>-71.291666666666657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2-4A81-B4D4-F31E15F5FB03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'空力設計(実測)_後退翼'!$BE$39:$BE$40</c:f>
              <c:numCache>
                <c:formatCode>General</c:formatCode>
                <c:ptCount val="2"/>
                <c:pt idx="0">
                  <c:v>59</c:v>
                </c:pt>
                <c:pt idx="1">
                  <c:v>59</c:v>
                </c:pt>
              </c:numCache>
            </c:numRef>
          </c:xVal>
          <c:yVal>
            <c:numRef>
              <c:f>'空力設計(実測)_後退翼'!$BF$39:$BF$40</c:f>
              <c:numCache>
                <c:formatCode>General</c:formatCode>
                <c:ptCount val="2"/>
                <c:pt idx="0">
                  <c:v>-71.291666666666657</c:v>
                </c:pt>
                <c:pt idx="1">
                  <c:v>-271.29166666666663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2-4A81-B4D4-F31E15F5FB03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'空力設計(実測)_後退翼'!$BE$41:$BE$42</c:f>
              <c:numCache>
                <c:formatCode>General</c:formatCode>
                <c:ptCount val="2"/>
                <c:pt idx="0">
                  <c:v>-59</c:v>
                </c:pt>
                <c:pt idx="1">
                  <c:v>-59</c:v>
                </c:pt>
              </c:numCache>
            </c:numRef>
          </c:xVal>
          <c:yVal>
            <c:numRef>
              <c:f>'空力設計(実測)_後退翼'!$BF$41:$BF$42</c:f>
              <c:numCache>
                <c:formatCode>General</c:formatCode>
                <c:ptCount val="2"/>
                <c:pt idx="0">
                  <c:v>-71.291666666666657</c:v>
                </c:pt>
                <c:pt idx="1">
                  <c:v>-271.29166666666663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2-4A81-B4D4-F31E15F5F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24320"/>
        <c:axId val="361524880"/>
      </c:scatterChart>
      <c:valAx>
        <c:axId val="3615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1524880"/>
        <c:crosses val="autoZero"/>
        <c:crossBetween val="midCat"/>
      </c:valAx>
      <c:valAx>
        <c:axId val="3615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15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'空力設計(設計)_台形翼'!$AO$13:$AP$13</c:f>
              <c:strCache>
                <c:ptCount val="1"/>
                <c:pt idx="0">
                  <c:v>ボディ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'空力設計(設計)_台形翼'!$AO$15:$AO$19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'空力設計(設計)_台形翼'!$AP$15:$AP$19</c:f>
              <c:numCache>
                <c:formatCode>General</c:formatCode>
                <c:ptCount val="5"/>
                <c:pt idx="0">
                  <c:v>59</c:v>
                </c:pt>
                <c:pt idx="1">
                  <c:v>59</c:v>
                </c:pt>
                <c:pt idx="2">
                  <c:v>-59</c:v>
                </c:pt>
                <c:pt idx="3">
                  <c:v>-59</c:v>
                </c:pt>
                <c:pt idx="4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5-4D14-92AB-5C99D6B22F7C}"/>
            </c:ext>
          </c:extLst>
        </c:ser>
        <c:ser>
          <c:idx val="2"/>
          <c:order val="1"/>
          <c:tx>
            <c:strRef>
              <c:f>'空力設計(設計)_台形翼'!$AO$5:$AP$5</c:f>
              <c:strCache>
                <c:ptCount val="1"/>
                <c:pt idx="0">
                  <c:v>ノーズ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'空力設計(設計)_台形翼'!$AO$7:$AO$10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'空力設計(設計)_台形翼'!$AP$7:$AP$10</c:f>
              <c:numCache>
                <c:formatCode>General</c:formatCode>
                <c:ptCount val="4"/>
                <c:pt idx="0">
                  <c:v>0</c:v>
                </c:pt>
                <c:pt idx="1">
                  <c:v>59</c:v>
                </c:pt>
                <c:pt idx="2">
                  <c:v>-59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5-4D14-92AB-5C99D6B22F7C}"/>
            </c:ext>
          </c:extLst>
        </c:ser>
        <c:ser>
          <c:idx val="3"/>
          <c:order val="2"/>
          <c:tx>
            <c:strRef>
              <c:f>'空力設計(設計)_台形翼'!$AO$21:$AP$21</c:f>
              <c:strCache>
                <c:ptCount val="1"/>
                <c:pt idx="0">
                  <c:v>ボートテイル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'空力設計(設計)_台形翼'!$AO$23:$AO$27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'空力設計(設計)_台形翼'!$AP$23:$AP$27</c:f>
              <c:numCache>
                <c:formatCode>General</c:formatCode>
                <c:ptCount val="5"/>
                <c:pt idx="0">
                  <c:v>59</c:v>
                </c:pt>
                <c:pt idx="1">
                  <c:v>0</c:v>
                </c:pt>
                <c:pt idx="2">
                  <c:v>0</c:v>
                </c:pt>
                <c:pt idx="3">
                  <c:v>-59</c:v>
                </c:pt>
                <c:pt idx="4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D5-4D14-92AB-5C99D6B22F7C}"/>
            </c:ext>
          </c:extLst>
        </c:ser>
        <c:ser>
          <c:idx val="4"/>
          <c:order val="3"/>
          <c:tx>
            <c:strRef>
              <c:f>'空力設計(設計)_台形翼'!$AO$38:$AP$38</c:f>
              <c:strCache>
                <c:ptCount val="1"/>
                <c:pt idx="0">
                  <c:v>フィン2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'空力設計(設計)_台形翼'!$AO$40:$AO$45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'空力設計(設計)_台形翼'!$AP$40:$AP$45</c:f>
              <c:numCache>
                <c:formatCode>General</c:formatCode>
                <c:ptCount val="6"/>
                <c:pt idx="0">
                  <c:v>-59</c:v>
                </c:pt>
                <c:pt idx="1">
                  <c:v>-59</c:v>
                </c:pt>
                <c:pt idx="2">
                  <c:v>-179</c:v>
                </c:pt>
                <c:pt idx="3">
                  <c:v>-179</c:v>
                </c:pt>
                <c:pt idx="4">
                  <c:v>-59</c:v>
                </c:pt>
                <c:pt idx="5">
                  <c:v>-59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D5-4D14-92AB-5C99D6B22F7C}"/>
            </c:ext>
          </c:extLst>
        </c:ser>
        <c:ser>
          <c:idx val="0"/>
          <c:order val="4"/>
          <c:tx>
            <c:strRef>
              <c:f>'空力設計(設計)_台形翼'!$AO$29:$AP$29</c:f>
              <c:strCache>
                <c:ptCount val="1"/>
                <c:pt idx="0">
                  <c:v>フィン1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'空力設計(設計)_台形翼'!$AO$31:$AO$36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'空力設計(設計)_台形翼'!$AP$31:$AP$36</c:f>
              <c:numCache>
                <c:formatCode>General</c:formatCode>
                <c:ptCount val="6"/>
                <c:pt idx="0">
                  <c:v>59</c:v>
                </c:pt>
                <c:pt idx="1">
                  <c:v>59</c:v>
                </c:pt>
                <c:pt idx="2">
                  <c:v>179</c:v>
                </c:pt>
                <c:pt idx="3">
                  <c:v>179</c:v>
                </c:pt>
                <c:pt idx="4">
                  <c:v>59</c:v>
                </c:pt>
                <c:pt idx="5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D5-4D14-92AB-5C99D6B22F7C}"/>
            </c:ext>
          </c:extLst>
        </c:ser>
        <c:ser>
          <c:idx val="5"/>
          <c:order val="5"/>
          <c:tx>
            <c:strRef>
              <c:f>'空力設計(設計)_台形翼'!$AR$5:$AS$5</c:f>
              <c:strCache>
                <c:ptCount val="1"/>
                <c:pt idx="0">
                  <c:v>全備重心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'空力設計(設計)_台形翼'!$AR$7</c:f>
              <c:numCache>
                <c:formatCode>General</c:formatCode>
                <c:ptCount val="1"/>
                <c:pt idx="0">
                  <c:v>1261.0437426833105</c:v>
                </c:pt>
              </c:numCache>
            </c:numRef>
          </c:xVal>
          <c:yVal>
            <c:numRef>
              <c:f>'空力設計(設計)_台形翼'!$AS$7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D5-4D14-92AB-5C99D6B22F7C}"/>
            </c:ext>
          </c:extLst>
        </c:ser>
        <c:ser>
          <c:idx val="6"/>
          <c:order val="6"/>
          <c:tx>
            <c:strRef>
              <c:f>'空力設計(設計)_台形翼'!$AR$9:$AS$9</c:f>
              <c:strCache>
                <c:ptCount val="1"/>
                <c:pt idx="0">
                  <c:v>圧力中心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'空力設計(設計)_台形翼'!$AR$11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'空力設計(設計)_台形翼'!$AS$11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D5-4D14-92AB-5C99D6B22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06944"/>
        <c:axId val="363007504"/>
      </c:scatterChart>
      <c:valAx>
        <c:axId val="363006944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3007504"/>
        <c:crosses val="autoZero"/>
        <c:crossBetween val="midCat"/>
        <c:majorUnit val="200"/>
      </c:valAx>
      <c:valAx>
        <c:axId val="363007504"/>
        <c:scaling>
          <c:orientation val="minMax"/>
          <c:max val="4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300694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'空力設計(設計)_台形翼'!$AR$25:$AR$37</c:f>
              <c:numCache>
                <c:formatCode>General</c:formatCode>
                <c:ptCount val="13"/>
                <c:pt idx="0">
                  <c:v>0</c:v>
                </c:pt>
                <c:pt idx="1">
                  <c:v>59</c:v>
                </c:pt>
                <c:pt idx="2">
                  <c:v>179</c:v>
                </c:pt>
                <c:pt idx="3">
                  <c:v>179</c:v>
                </c:pt>
                <c:pt idx="4">
                  <c:v>59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-59</c:v>
                </c:pt>
                <c:pt idx="9">
                  <c:v>-179</c:v>
                </c:pt>
                <c:pt idx="10">
                  <c:v>-179</c:v>
                </c:pt>
                <c:pt idx="11">
                  <c:v>-59</c:v>
                </c:pt>
                <c:pt idx="12">
                  <c:v>0</c:v>
                </c:pt>
              </c:numCache>
            </c:numRef>
          </c:xVal>
          <c:yVal>
            <c:numRef>
              <c:f>'空力設計(設計)_台形翼'!$AS$25:$AS$37</c:f>
              <c:numCache>
                <c:formatCode>General</c:formatCode>
                <c:ptCount val="13"/>
                <c:pt idx="0">
                  <c:v>0</c:v>
                </c:pt>
                <c:pt idx="1">
                  <c:v>-49.166666666666664</c:v>
                </c:pt>
                <c:pt idx="2">
                  <c:v>-149.16666666666666</c:v>
                </c:pt>
                <c:pt idx="3">
                  <c:v>-189.16666666666666</c:v>
                </c:pt>
                <c:pt idx="4">
                  <c:v>-189.16666666666666</c:v>
                </c:pt>
                <c:pt idx="5">
                  <c:v>-189.16666666666666</c:v>
                </c:pt>
                <c:pt idx="6">
                  <c:v>-189.16666666666666</c:v>
                </c:pt>
                <c:pt idx="7">
                  <c:v>-189.16666666666666</c:v>
                </c:pt>
                <c:pt idx="8">
                  <c:v>-189.16666666666666</c:v>
                </c:pt>
                <c:pt idx="9">
                  <c:v>-189.16666666666666</c:v>
                </c:pt>
                <c:pt idx="10">
                  <c:v>-149.16666666666666</c:v>
                </c:pt>
                <c:pt idx="11">
                  <c:v>-49.166666666666664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F-4CB3-8758-D9CAD424E996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'空力設計(設計)_台形翼'!$AR$39:$AR$40</c:f>
              <c:numCache>
                <c:formatCode>General</c:formatCode>
                <c:ptCount val="2"/>
                <c:pt idx="0">
                  <c:v>59</c:v>
                </c:pt>
                <c:pt idx="1">
                  <c:v>59</c:v>
                </c:pt>
              </c:numCache>
            </c:numRef>
          </c:xVal>
          <c:yVal>
            <c:numRef>
              <c:f>'空力設計(設計)_台形翼'!$AS$39:$AS$40</c:f>
              <c:numCache>
                <c:formatCode>General</c:formatCode>
                <c:ptCount val="2"/>
                <c:pt idx="0">
                  <c:v>-49.166666666666664</c:v>
                </c:pt>
                <c:pt idx="1">
                  <c:v>-189.16666666666666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F-4CB3-8758-D9CAD424E996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'空力設計(設計)_台形翼'!$AR$41:$AR$42</c:f>
              <c:numCache>
                <c:formatCode>General</c:formatCode>
                <c:ptCount val="2"/>
                <c:pt idx="0">
                  <c:v>-59</c:v>
                </c:pt>
                <c:pt idx="1">
                  <c:v>-59</c:v>
                </c:pt>
              </c:numCache>
            </c:numRef>
          </c:xVal>
          <c:yVal>
            <c:numRef>
              <c:f>'空力設計(設計)_台形翼'!$AS$41:$AS$42</c:f>
              <c:numCache>
                <c:formatCode>General</c:formatCode>
                <c:ptCount val="2"/>
                <c:pt idx="0">
                  <c:v>-49.166666666666664</c:v>
                </c:pt>
                <c:pt idx="1">
                  <c:v>-189.16666666666666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0F-4CB3-8758-D9CAD424E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11424"/>
        <c:axId val="363011984"/>
      </c:scatterChart>
      <c:valAx>
        <c:axId val="36301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3011984"/>
        <c:crosses val="autoZero"/>
        <c:crossBetween val="midCat"/>
      </c:valAx>
      <c:valAx>
        <c:axId val="3630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301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241527</xdr:colOff>
      <xdr:row>22</xdr:row>
      <xdr:rowOff>104053</xdr:rowOff>
    </xdr:from>
    <xdr:to>
      <xdr:col>15</xdr:col>
      <xdr:colOff>320336</xdr:colOff>
      <xdr:row>36</xdr:row>
      <xdr:rowOff>206374</xdr:rowOff>
    </xdr:to>
    <xdr:graphicFrame macro="">
      <xdr:nvGraphicFramePr>
        <xdr:cNvPr id="29" name="グラフ 2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43090</xdr:colOff>
      <xdr:row>14</xdr:row>
      <xdr:rowOff>111103</xdr:rowOff>
    </xdr:from>
    <xdr:to>
      <xdr:col>4</xdr:col>
      <xdr:colOff>47625</xdr:colOff>
      <xdr:row>21</xdr:row>
      <xdr:rowOff>190500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715" y="3667103"/>
          <a:ext cx="3671660" cy="1857397"/>
        </a:xfrm>
        <a:prstGeom prst="rect">
          <a:avLst/>
        </a:prstGeom>
      </xdr:spPr>
    </xdr:pic>
    <xdr:clientData/>
  </xdr:twoCellAnchor>
  <xdr:twoCellAnchor>
    <xdr:from>
      <xdr:col>26</xdr:col>
      <xdr:colOff>164296</xdr:colOff>
      <xdr:row>24</xdr:row>
      <xdr:rowOff>95250</xdr:rowOff>
    </xdr:from>
    <xdr:to>
      <xdr:col>31</xdr:col>
      <xdr:colOff>635000</xdr:colOff>
      <xdr:row>39</xdr:row>
      <xdr:rowOff>216987</xdr:rowOff>
    </xdr:to>
    <xdr:graphicFrame macro="">
      <xdr:nvGraphicFramePr>
        <xdr:cNvPr id="3" name="グラフ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709138</xdr:colOff>
      <xdr:row>3</xdr:row>
      <xdr:rowOff>7621</xdr:rowOff>
    </xdr:from>
    <xdr:to>
      <xdr:col>15</xdr:col>
      <xdr:colOff>714375</xdr:colOff>
      <xdr:row>22</xdr:row>
      <xdr:rowOff>158062</xdr:rowOff>
    </xdr:to>
    <xdr:grpSp>
      <xdr:nvGrpSpPr>
        <xdr:cNvPr id="2" name="グループ化 1"/>
        <xdr:cNvGrpSpPr/>
      </xdr:nvGrpSpPr>
      <xdr:grpSpPr>
        <a:xfrm>
          <a:off x="10912794" y="436246"/>
          <a:ext cx="4803456" cy="3615160"/>
          <a:chOff x="466456" y="986105"/>
          <a:chExt cx="8221461" cy="6674487"/>
        </a:xfrm>
      </xdr:grpSpPr>
      <xdr:sp macro="" textlink="">
        <xdr:nvSpPr>
          <xdr:cNvPr id="3" name="二等辺三角形 2"/>
          <xdr:cNvSpPr/>
        </xdr:nvSpPr>
        <xdr:spPr>
          <a:xfrm rot="16200000">
            <a:off x="1013575" y="1637597"/>
            <a:ext cx="817072" cy="1911309"/>
          </a:xfrm>
          <a:prstGeom prst="triangle">
            <a:avLst/>
          </a:prstGeom>
          <a:solidFill>
            <a:srgbClr val="3366FF"/>
          </a:solidFill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200"/>
          </a:p>
        </xdr:txBody>
      </xdr:sp>
      <xdr:sp macro="" textlink="">
        <xdr:nvSpPr>
          <xdr:cNvPr id="4" name="正方形/長方形 3"/>
          <xdr:cNvSpPr/>
        </xdr:nvSpPr>
        <xdr:spPr>
          <a:xfrm>
            <a:off x="2377766" y="2184715"/>
            <a:ext cx="6308213" cy="817072"/>
          </a:xfrm>
          <a:prstGeom prst="rect">
            <a:avLst/>
          </a:prstGeom>
          <a:solidFill>
            <a:srgbClr val="3366FF"/>
          </a:solidFill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200"/>
          </a:p>
        </xdr:txBody>
      </xdr:sp>
      <xdr:sp macro="" textlink="">
        <xdr:nvSpPr>
          <xdr:cNvPr id="5" name="直角三角形 4"/>
          <xdr:cNvSpPr/>
        </xdr:nvSpPr>
        <xdr:spPr>
          <a:xfrm rot="10800000">
            <a:off x="7334244" y="3001787"/>
            <a:ext cx="1351733" cy="494533"/>
          </a:xfrm>
          <a:prstGeom prst="rtTriangle">
            <a:avLst/>
          </a:prstGeom>
          <a:solidFill>
            <a:srgbClr val="3366FF"/>
          </a:solidFill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200"/>
          </a:p>
        </xdr:txBody>
      </xdr:sp>
      <xdr:sp macro="" textlink="">
        <xdr:nvSpPr>
          <xdr:cNvPr id="6" name="直角三角形 5"/>
          <xdr:cNvSpPr/>
        </xdr:nvSpPr>
        <xdr:spPr>
          <a:xfrm rot="10800000" flipV="1">
            <a:off x="7334244" y="1690182"/>
            <a:ext cx="1351735" cy="494533"/>
          </a:xfrm>
          <a:prstGeom prst="rtTriangle">
            <a:avLst/>
          </a:prstGeom>
          <a:solidFill>
            <a:srgbClr val="3366FF"/>
          </a:solidFill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200"/>
          </a:p>
        </xdr:txBody>
      </xdr:sp>
      <xdr:sp macro="" textlink="">
        <xdr:nvSpPr>
          <xdr:cNvPr id="7" name="二等辺三角形 6"/>
          <xdr:cNvSpPr/>
        </xdr:nvSpPr>
        <xdr:spPr>
          <a:xfrm>
            <a:off x="2828462" y="3001787"/>
            <a:ext cx="1037695" cy="771057"/>
          </a:xfrm>
          <a:prstGeom prst="triangle">
            <a:avLst/>
          </a:prstGeom>
          <a:solidFill>
            <a:srgbClr val="FF0000"/>
          </a:solidFill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200"/>
          </a:p>
        </xdr:txBody>
      </xdr:sp>
      <xdr:sp macro="" textlink="">
        <xdr:nvSpPr>
          <xdr:cNvPr id="8" name="二等辺三角形 7"/>
          <xdr:cNvSpPr/>
        </xdr:nvSpPr>
        <xdr:spPr>
          <a:xfrm>
            <a:off x="5931708" y="3001787"/>
            <a:ext cx="1037695" cy="771057"/>
          </a:xfrm>
          <a:prstGeom prst="triangle">
            <a:avLst/>
          </a:prstGeom>
          <a:solidFill>
            <a:srgbClr val="FF0000"/>
          </a:solidFill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200"/>
          </a:p>
        </xdr:txBody>
      </xdr:sp>
      <xdr:sp macro="" textlink="">
        <xdr:nvSpPr>
          <xdr:cNvPr id="9" name="円/楕円 8"/>
          <xdr:cNvSpPr/>
        </xdr:nvSpPr>
        <xdr:spPr>
          <a:xfrm>
            <a:off x="5095006" y="2485856"/>
            <a:ext cx="409617" cy="322488"/>
          </a:xfrm>
          <a:prstGeom prst="ellipse">
            <a:avLst/>
          </a:prstGeom>
          <a:solidFill>
            <a:schemeClr val="bg1"/>
          </a:solidFill>
          <a:ln w="254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200"/>
          </a:p>
        </xdr:txBody>
      </xdr:sp>
      <xdr:cxnSp macro="">
        <xdr:nvCxnSpPr>
          <xdr:cNvPr id="10" name="直線コネクタ 9"/>
          <xdr:cNvCxnSpPr>
            <a:stCxn id="9" idx="0"/>
            <a:endCxn id="9" idx="4"/>
          </xdr:cNvCxnSpPr>
        </xdr:nvCxnSpPr>
        <xdr:spPr>
          <a:xfrm>
            <a:off x="5299815" y="2485856"/>
            <a:ext cx="0" cy="322488"/>
          </a:xfrm>
          <a:prstGeom prst="line">
            <a:avLst/>
          </a:prstGeom>
          <a:ln>
            <a:solidFill>
              <a:schemeClr val="tx1"/>
            </a:solidFill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線コネクタ 10"/>
          <xdr:cNvCxnSpPr>
            <a:stCxn id="9" idx="2"/>
            <a:endCxn id="9" idx="6"/>
          </xdr:cNvCxnSpPr>
        </xdr:nvCxnSpPr>
        <xdr:spPr>
          <a:xfrm>
            <a:off x="5095006" y="2647100"/>
            <a:ext cx="409617" cy="0"/>
          </a:xfrm>
          <a:prstGeom prst="line">
            <a:avLst/>
          </a:prstGeom>
          <a:ln>
            <a:solidFill>
              <a:schemeClr val="tx1"/>
            </a:solidFill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コネクタ 11"/>
          <xdr:cNvCxnSpPr/>
        </xdr:nvCxnSpPr>
        <xdr:spPr>
          <a:xfrm flipV="1">
            <a:off x="5299815" y="1263554"/>
            <a:ext cx="0" cy="921163"/>
          </a:xfrm>
          <a:prstGeom prst="line">
            <a:avLst/>
          </a:prstGeom>
          <a:ln>
            <a:solidFill>
              <a:schemeClr val="tx1"/>
            </a:solidFill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13" name="グループ化 12"/>
          <xdr:cNvGrpSpPr/>
        </xdr:nvGrpSpPr>
        <xdr:grpSpPr>
          <a:xfrm>
            <a:off x="5292080" y="986105"/>
            <a:ext cx="3384376" cy="498679"/>
            <a:chOff x="5292080" y="986105"/>
            <a:chExt cx="3384376" cy="498679"/>
          </a:xfrm>
        </xdr:grpSpPr>
        <xdr:sp macro="" textlink="">
          <xdr:nvSpPr>
            <xdr:cNvPr id="27" name="テキスト ボックス 14"/>
            <xdr:cNvSpPr txBox="1"/>
          </xdr:nvSpPr>
          <xdr:spPr>
            <a:xfrm>
              <a:off x="6498926" y="986105"/>
              <a:ext cx="820377" cy="48997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en-US" altLang="ja-JP" sz="1200" b="1">
                  <a:latin typeface="Times New Roman" pitchFamily="18" charset="0"/>
                  <a:cs typeface="Times New Roman" pitchFamily="18" charset="0"/>
                </a:rPr>
                <a:t>L</a:t>
              </a:r>
              <a:r>
                <a:rPr kumimoji="1" lang="en-US" altLang="ja-JP" sz="1200" b="1" baseline="-25000">
                  <a:latin typeface="Times New Roman" pitchFamily="18" charset="0"/>
                  <a:cs typeface="Times New Roman" pitchFamily="18" charset="0"/>
                </a:rPr>
                <a:t>G</a:t>
              </a:r>
              <a:endParaRPr kumimoji="1" lang="ja-JP" alt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  <xdr:cxnSp macro="">
          <xdr:nvCxnSpPr>
            <xdr:cNvPr id="28" name="直線矢印コネクタ 27"/>
            <xdr:cNvCxnSpPr/>
          </xdr:nvCxnSpPr>
          <xdr:spPr>
            <a:xfrm>
              <a:off x="5292080" y="1484784"/>
              <a:ext cx="3384376" cy="0"/>
            </a:xfrm>
            <a:prstGeom prst="straightConnector1">
              <a:avLst/>
            </a:prstGeom>
            <a:ln>
              <a:solidFill>
                <a:schemeClr val="tx1"/>
              </a:solidFill>
              <a:headEnd type="arrow"/>
              <a:tailEnd type="arrow"/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" name="テキスト ボックス 18"/>
          <xdr:cNvSpPr txBox="1"/>
        </xdr:nvSpPr>
        <xdr:spPr>
          <a:xfrm>
            <a:off x="3995935" y="2420890"/>
            <a:ext cx="392560" cy="492293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 sz="1200">
                <a:latin typeface="Times New Roman" pitchFamily="18" charset="0"/>
                <a:cs typeface="Times New Roman" pitchFamily="18" charset="0"/>
              </a:rPr>
              <a:t>M</a:t>
            </a:r>
          </a:p>
        </xdr:txBody>
      </xdr:sp>
      <xdr:sp macro="" textlink="">
        <xdr:nvSpPr>
          <xdr:cNvPr id="15" name="テキスト ボックス 19"/>
          <xdr:cNvSpPr txBox="1"/>
        </xdr:nvSpPr>
        <xdr:spPr>
          <a:xfrm>
            <a:off x="5539147" y="2455566"/>
            <a:ext cx="789539" cy="78607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200">
                <a:latin typeface="Times New Roman" pitchFamily="18" charset="0"/>
                <a:cs typeface="Times New Roman" pitchFamily="18" charset="0"/>
              </a:rPr>
              <a:t>C</a:t>
            </a:r>
            <a:r>
              <a:rPr lang="en-US" altLang="ja-JP" sz="1200" baseline="-25000">
                <a:latin typeface="Times New Roman" pitchFamily="18" charset="0"/>
                <a:cs typeface="Times New Roman" pitchFamily="18" charset="0"/>
              </a:rPr>
              <a:t>G</a:t>
            </a:r>
          </a:p>
          <a:p>
            <a:endParaRPr kumimoji="1" lang="en-US" altLang="ja-JP" sz="1200"/>
          </a:p>
        </xdr:txBody>
      </xdr:sp>
      <xdr:sp macro="" textlink="">
        <xdr:nvSpPr>
          <xdr:cNvPr id="16" name="テキスト ボックス 20"/>
          <xdr:cNvSpPr txBox="1"/>
        </xdr:nvSpPr>
        <xdr:spPr>
          <a:xfrm>
            <a:off x="6207494" y="3276498"/>
            <a:ext cx="681671" cy="48997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 sz="1200">
                <a:latin typeface="Times New Roman" pitchFamily="18" charset="0"/>
                <a:cs typeface="Times New Roman" pitchFamily="18" charset="0"/>
              </a:rPr>
              <a:t>m</a:t>
            </a:r>
            <a:r>
              <a:rPr kumimoji="1" lang="en-US" altLang="ja-JP" sz="1200" baseline="-25000">
                <a:latin typeface="Times New Roman" pitchFamily="18" charset="0"/>
                <a:cs typeface="Times New Roman" pitchFamily="18" charset="0"/>
              </a:rPr>
              <a:t>1</a:t>
            </a:r>
            <a:endParaRPr kumimoji="1" lang="ja-JP" altLang="en-US" sz="1200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7" name="テキスト ボックス 21"/>
          <xdr:cNvSpPr txBox="1"/>
        </xdr:nvSpPr>
        <xdr:spPr>
          <a:xfrm>
            <a:off x="3124185" y="3331951"/>
            <a:ext cx="780098" cy="48997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 sz="1200">
                <a:latin typeface="Times New Roman" pitchFamily="18" charset="0"/>
                <a:cs typeface="Times New Roman" pitchFamily="18" charset="0"/>
              </a:rPr>
              <a:t>m</a:t>
            </a:r>
            <a:r>
              <a:rPr lang="en-US" altLang="ja-JP" sz="1200" baseline="-25000">
                <a:latin typeface="Times New Roman" pitchFamily="18" charset="0"/>
                <a:cs typeface="Times New Roman" pitchFamily="18" charset="0"/>
              </a:rPr>
              <a:t>2</a:t>
            </a:r>
            <a:endParaRPr kumimoji="1" lang="ja-JP" altLang="en-US" sz="1200">
              <a:latin typeface="Times New Roman" pitchFamily="18" charset="0"/>
              <a:cs typeface="Times New Roman" pitchFamily="18" charset="0"/>
            </a:endParaRPr>
          </a:p>
        </xdr:txBody>
      </xdr:sp>
      <xdr:cxnSp macro="">
        <xdr:nvCxnSpPr>
          <xdr:cNvPr id="18" name="直線コネクタ 17"/>
          <xdr:cNvCxnSpPr>
            <a:stCxn id="7" idx="3"/>
          </xdr:cNvCxnSpPr>
        </xdr:nvCxnSpPr>
        <xdr:spPr>
          <a:xfrm>
            <a:off x="3347310" y="3772844"/>
            <a:ext cx="554" cy="1240332"/>
          </a:xfrm>
          <a:prstGeom prst="line">
            <a:avLst/>
          </a:prstGeom>
          <a:ln>
            <a:solidFill>
              <a:schemeClr val="tx1"/>
            </a:solidFill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直線コネクタ 18"/>
          <xdr:cNvCxnSpPr/>
        </xdr:nvCxnSpPr>
        <xdr:spPr>
          <a:xfrm>
            <a:off x="8676456" y="1268760"/>
            <a:ext cx="0" cy="3767370"/>
          </a:xfrm>
          <a:prstGeom prst="line">
            <a:avLst/>
          </a:prstGeom>
          <a:ln>
            <a:solidFill>
              <a:schemeClr val="tx1"/>
            </a:solidFill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直線矢印コネクタ 19"/>
          <xdr:cNvCxnSpPr/>
        </xdr:nvCxnSpPr>
        <xdr:spPr>
          <a:xfrm>
            <a:off x="6444208" y="4005064"/>
            <a:ext cx="2232782" cy="0"/>
          </a:xfrm>
          <a:prstGeom prst="straightConnector1">
            <a:avLst/>
          </a:prstGeom>
          <a:ln>
            <a:solidFill>
              <a:schemeClr val="tx1"/>
            </a:solidFill>
            <a:headEnd type="arrow"/>
            <a:tailEnd type="arrow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直線コネクタ 20"/>
          <xdr:cNvCxnSpPr/>
        </xdr:nvCxnSpPr>
        <xdr:spPr>
          <a:xfrm flipH="1">
            <a:off x="6444209" y="3764761"/>
            <a:ext cx="10373" cy="384319"/>
          </a:xfrm>
          <a:prstGeom prst="line">
            <a:avLst/>
          </a:prstGeom>
          <a:ln>
            <a:solidFill>
              <a:schemeClr val="tx1"/>
            </a:solidFill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直線矢印コネクタ 21"/>
          <xdr:cNvCxnSpPr/>
        </xdr:nvCxnSpPr>
        <xdr:spPr>
          <a:xfrm>
            <a:off x="3347864" y="4725144"/>
            <a:ext cx="5340053" cy="0"/>
          </a:xfrm>
          <a:prstGeom prst="straightConnector1">
            <a:avLst/>
          </a:prstGeom>
          <a:ln>
            <a:solidFill>
              <a:schemeClr val="tx1"/>
            </a:solidFill>
            <a:headEnd type="arrow"/>
            <a:tailEnd type="arrow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テキスト ボックス 27"/>
          <xdr:cNvSpPr txBox="1"/>
        </xdr:nvSpPr>
        <xdr:spPr>
          <a:xfrm>
            <a:off x="5436095" y="4293095"/>
            <a:ext cx="544617" cy="142198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 sz="1200">
                <a:latin typeface="Times New Roman" pitchFamily="18" charset="0"/>
                <a:cs typeface="Times New Roman" pitchFamily="18" charset="0"/>
              </a:rPr>
              <a:t>l</a:t>
            </a:r>
            <a:r>
              <a:rPr lang="en-US" altLang="ja-JP" sz="1200" baseline="-25000">
                <a:latin typeface="Times New Roman" pitchFamily="18" charset="0"/>
                <a:cs typeface="Times New Roman" pitchFamily="18" charset="0"/>
              </a:rPr>
              <a:t>2</a:t>
            </a:r>
            <a:endParaRPr kumimoji="1" lang="ja-JP" altLang="en-US" sz="1200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24" name="テキスト ボックス 28"/>
          <xdr:cNvSpPr txBox="1"/>
        </xdr:nvSpPr>
        <xdr:spPr>
          <a:xfrm>
            <a:off x="7380312" y="3573015"/>
            <a:ext cx="544617" cy="142198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200">
                <a:latin typeface="Times New Roman" pitchFamily="18" charset="0"/>
                <a:cs typeface="Times New Roman" pitchFamily="18" charset="0"/>
              </a:rPr>
              <a:t>l</a:t>
            </a:r>
            <a:r>
              <a:rPr kumimoji="1" lang="en-US" altLang="ja-JP" sz="1200" baseline="-25000">
                <a:latin typeface="Times New Roman" pitchFamily="18" charset="0"/>
                <a:cs typeface="Times New Roman" pitchFamily="18" charset="0"/>
              </a:rPr>
              <a:t>1</a:t>
            </a:r>
            <a:endParaRPr kumimoji="1" lang="ja-JP" altLang="en-US" sz="1200">
              <a:latin typeface="Times New Roman" pitchFamily="18" charset="0"/>
              <a:cs typeface="Times New Roman" pitchFamily="18" charset="0"/>
            </a:endParaRPr>
          </a:p>
        </xdr:txBody>
      </xdr:sp>
      <xdr:pic>
        <xdr:nvPicPr>
          <xdr:cNvPr id="25" name="図 24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463566" y="5450068"/>
            <a:ext cx="5672500" cy="272839"/>
          </a:xfrm>
          <a:prstGeom prst="rect">
            <a:avLst/>
          </a:prstGeom>
        </xdr:spPr>
      </xdr:pic>
      <xdr:sp macro="" textlink="">
        <xdr:nvSpPr>
          <xdr:cNvPr id="26" name="テキスト ボックス 4"/>
          <xdr:cNvSpPr txBox="1"/>
        </xdr:nvSpPr>
        <xdr:spPr>
          <a:xfrm>
            <a:off x="2882422" y="5453448"/>
            <a:ext cx="1617400" cy="22071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1200"/>
              <a:t>重心算出式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241527</xdr:colOff>
      <xdr:row>22</xdr:row>
      <xdr:rowOff>104053</xdr:rowOff>
    </xdr:from>
    <xdr:to>
      <xdr:col>15</xdr:col>
      <xdr:colOff>320336</xdr:colOff>
      <xdr:row>36</xdr:row>
      <xdr:rowOff>206374</xdr:rowOff>
    </xdr:to>
    <xdr:graphicFrame macro="">
      <xdr:nvGraphicFramePr>
        <xdr:cNvPr id="2" name="グラフ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43090</xdr:colOff>
      <xdr:row>14</xdr:row>
      <xdr:rowOff>111103</xdr:rowOff>
    </xdr:from>
    <xdr:to>
      <xdr:col>4</xdr:col>
      <xdr:colOff>47625</xdr:colOff>
      <xdr:row>21</xdr:row>
      <xdr:rowOff>190500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890" y="3578203"/>
          <a:ext cx="3662135" cy="1812947"/>
        </a:xfrm>
        <a:prstGeom prst="rect">
          <a:avLst/>
        </a:prstGeom>
      </xdr:spPr>
    </xdr:pic>
    <xdr:clientData/>
  </xdr:twoCellAnchor>
  <xdr:twoCellAnchor>
    <xdr:from>
      <xdr:col>26</xdr:col>
      <xdr:colOff>164296</xdr:colOff>
      <xdr:row>24</xdr:row>
      <xdr:rowOff>95250</xdr:rowOff>
    </xdr:from>
    <xdr:to>
      <xdr:col>31</xdr:col>
      <xdr:colOff>635000</xdr:colOff>
      <xdr:row>39</xdr:row>
      <xdr:rowOff>216987</xdr:rowOff>
    </xdr:to>
    <xdr:graphicFrame macro="">
      <xdr:nvGraphicFramePr>
        <xdr:cNvPr id="4" name="グラフ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241527</xdr:colOff>
      <xdr:row>22</xdr:row>
      <xdr:rowOff>104053</xdr:rowOff>
    </xdr:from>
    <xdr:to>
      <xdr:col>15</xdr:col>
      <xdr:colOff>193336</xdr:colOff>
      <xdr:row>36</xdr:row>
      <xdr:rowOff>206374</xdr:rowOff>
    </xdr:to>
    <xdr:graphicFrame macro="">
      <xdr:nvGraphicFramePr>
        <xdr:cNvPr id="2" name="グラフ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43090</xdr:colOff>
      <xdr:row>14</xdr:row>
      <xdr:rowOff>111103</xdr:rowOff>
    </xdr:from>
    <xdr:to>
      <xdr:col>4</xdr:col>
      <xdr:colOff>47625</xdr:colOff>
      <xdr:row>21</xdr:row>
      <xdr:rowOff>190500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890" y="3578203"/>
          <a:ext cx="3662135" cy="1812947"/>
        </a:xfrm>
        <a:prstGeom prst="rect">
          <a:avLst/>
        </a:prstGeom>
      </xdr:spPr>
    </xdr:pic>
    <xdr:clientData/>
  </xdr:twoCellAnchor>
  <xdr:twoCellAnchor>
    <xdr:from>
      <xdr:col>26</xdr:col>
      <xdr:colOff>164296</xdr:colOff>
      <xdr:row>24</xdr:row>
      <xdr:rowOff>95250</xdr:rowOff>
    </xdr:from>
    <xdr:to>
      <xdr:col>31</xdr:col>
      <xdr:colOff>635000</xdr:colOff>
      <xdr:row>39</xdr:row>
      <xdr:rowOff>216987</xdr:rowOff>
    </xdr:to>
    <xdr:graphicFrame macro="">
      <xdr:nvGraphicFramePr>
        <xdr:cNvPr id="4" name="グラフ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E29" sqref="E29"/>
    </sheetView>
  </sheetViews>
  <sheetFormatPr defaultRowHeight="13.5"/>
  <cols>
    <col min="1" max="1" width="24.5" customWidth="1"/>
  </cols>
  <sheetData>
    <row r="1" spans="1:2">
      <c r="A1" t="str">
        <f>諸元!E4</f>
        <v>全長</v>
      </c>
      <c r="B1">
        <f>諸元!F4</f>
        <v>2.1419999999999999</v>
      </c>
    </row>
    <row r="2" spans="1:2">
      <c r="A2" t="str">
        <f>諸元!E5</f>
        <v>機体直径</v>
      </c>
      <c r="B2">
        <f>諸元!F5</f>
        <v>0.11799999999999999</v>
      </c>
    </row>
    <row r="3" spans="1:2">
      <c r="A3" t="str">
        <f>諸元!E6</f>
        <v>機体空虚質量</v>
      </c>
      <c r="B3">
        <f>諸元!F6</f>
        <v>10.3507</v>
      </c>
    </row>
    <row r="4" spans="1:2">
      <c r="A4" t="str">
        <f>諸元!E7</f>
        <v>機体重心位置</v>
      </c>
      <c r="B4">
        <f>諸元!F7</f>
        <v>1.2300773641707494</v>
      </c>
    </row>
    <row r="5" spans="1:2">
      <c r="A5" t="str">
        <f>諸元!E8</f>
        <v>酸化剤重心位置</v>
      </c>
      <c r="B5">
        <f>諸元!F8</f>
        <v>0.91500000000000004</v>
      </c>
    </row>
    <row r="6" spans="1:2">
      <c r="A6" t="str">
        <f>諸元!E9</f>
        <v>燃料重心位置</v>
      </c>
      <c r="B6">
        <f>諸元!F9</f>
        <v>0.309</v>
      </c>
    </row>
    <row r="7" spans="1:2">
      <c r="A7" t="str">
        <f>諸元!E10</f>
        <v>タンク長さ</v>
      </c>
      <c r="B7">
        <f>諸元!F10</f>
        <v>1</v>
      </c>
    </row>
    <row r="8" spans="1:2">
      <c r="A8" t="str">
        <f>諸元!E11</f>
        <v>慣性モーメントPitch・Yaw</v>
      </c>
      <c r="B8">
        <f>諸元!F11</f>
        <v>3.5190000000000001</v>
      </c>
    </row>
    <row r="9" spans="1:2">
      <c r="A9" t="str">
        <f>諸元!E12</f>
        <v>慣性モーメントRoll</v>
      </c>
      <c r="B9">
        <f>諸元!F12</f>
        <v>2.1000000000000001E-2</v>
      </c>
    </row>
    <row r="10" spans="1:2">
      <c r="A10" t="str">
        <f>諸元!E13</f>
        <v>圧力中心</v>
      </c>
      <c r="B10">
        <f>諸元!F13</f>
        <v>1.6156547419362786</v>
      </c>
    </row>
    <row r="11" spans="1:2">
      <c r="A11" t="str">
        <f>諸元!E14</f>
        <v>減衰モーメント係数</v>
      </c>
      <c r="B11">
        <f>諸元!F14</f>
        <v>-4.4418212038763415E-2</v>
      </c>
    </row>
    <row r="12" spans="1:2">
      <c r="A12" t="str">
        <f>諸元!E15</f>
        <v>減衰モーメント係数</v>
      </c>
      <c r="B12">
        <f>諸元!F15</f>
        <v>-2.722710315906804</v>
      </c>
    </row>
    <row r="13" spans="1:2">
      <c r="A13" t="str">
        <f>諸元!E16</f>
        <v>抗力係数</v>
      </c>
      <c r="B13">
        <f>諸元!F16</f>
        <v>0.3</v>
      </c>
    </row>
    <row r="14" spans="1:2">
      <c r="A14" t="str">
        <f>諸元!E17</f>
        <v>法線力係数</v>
      </c>
      <c r="B14">
        <f>諸元!F17</f>
        <v>9.2763979112216628</v>
      </c>
    </row>
    <row r="15" spans="1:2">
      <c r="A15" t="str">
        <f>諸元!E18</f>
        <v>角度</v>
      </c>
      <c r="B15">
        <f>諸元!F18</f>
        <v>0</v>
      </c>
    </row>
    <row r="16" spans="1:2">
      <c r="A16" t="str">
        <f>諸元!E19</f>
        <v>1段目抗力特性</v>
      </c>
      <c r="B16">
        <f>諸元!F19</f>
        <v>9.1859999999999997E-2</v>
      </c>
    </row>
    <row r="17" spans="1:2">
      <c r="A17" t="str">
        <f>諸元!E20</f>
        <v>2段目抗力特性</v>
      </c>
      <c r="B17">
        <f>諸元!F20</f>
        <v>0.63300000000000001</v>
      </c>
    </row>
    <row r="18" spans="1:2">
      <c r="A18" t="str">
        <f>諸元!E21</f>
        <v>サンプリングレート</v>
      </c>
      <c r="B18">
        <f>諸元!F21</f>
        <v>3000</v>
      </c>
    </row>
    <row r="19" spans="1:2">
      <c r="A19" t="str">
        <f>諸元!E22</f>
        <v>ノズル出口直径</v>
      </c>
      <c r="B19">
        <f>諸元!F22</f>
        <v>42</v>
      </c>
    </row>
    <row r="20" spans="1:2">
      <c r="A20" t="str">
        <f>諸元!E23</f>
        <v>比推力</v>
      </c>
      <c r="B20">
        <f>諸元!F23</f>
        <v>150.22999999999999</v>
      </c>
    </row>
    <row r="21" spans="1:2">
      <c r="A21" t="str">
        <f>諸元!E24</f>
        <v>酸化剤質量</v>
      </c>
      <c r="B21">
        <f>諸元!F24</f>
        <v>4.3497000000000003</v>
      </c>
    </row>
    <row r="22" spans="1:2">
      <c r="A22" t="str">
        <f>諸元!E25</f>
        <v>全燃料質量</v>
      </c>
      <c r="B22">
        <f>諸元!F25</f>
        <v>0.81930000000000003</v>
      </c>
    </row>
    <row r="23" spans="1:2">
      <c r="A23" t="str">
        <f>諸元!E26</f>
        <v>燃焼後燃料質量</v>
      </c>
      <c r="B23">
        <f>諸元!F26</f>
        <v>0.42759999999999998</v>
      </c>
    </row>
    <row r="24" spans="1:2">
      <c r="A24" t="str">
        <f>諸元!E27</f>
        <v>燃料長さ</v>
      </c>
      <c r="B24">
        <f>諸元!F27</f>
        <v>0.19</v>
      </c>
    </row>
    <row r="25" spans="1:2">
      <c r="A25" t="str">
        <f>諸元!E28</f>
        <v>燃料外径</v>
      </c>
      <c r="B25">
        <f>諸元!F28</f>
        <v>6.9000000000000006E-2</v>
      </c>
    </row>
    <row r="26" spans="1:2">
      <c r="A26" t="str">
        <f>諸元!E29</f>
        <v>燃料内径</v>
      </c>
      <c r="B26">
        <f>諸元!F29</f>
        <v>2.6925000000000001E-2</v>
      </c>
    </row>
    <row r="27" spans="1:2">
      <c r="A27" t="str">
        <f>諸元!E30</f>
        <v>酸化剤質量流量</v>
      </c>
      <c r="B27">
        <f>諸元!F30</f>
        <v>0.65544000000000002</v>
      </c>
    </row>
    <row r="28" spans="1:2">
      <c r="A28" t="str">
        <f>諸元!E31</f>
        <v>燃料質量流量</v>
      </c>
      <c r="B28">
        <f>諸元!F31</f>
        <v>5.9026000000000002E-2</v>
      </c>
    </row>
    <row r="29" spans="1:2">
      <c r="A29">
        <f>諸元!E41</f>
        <v>0</v>
      </c>
      <c r="B29">
        <f>諸元!F41</f>
        <v>0</v>
      </c>
    </row>
    <row r="30" spans="1:2">
      <c r="A30">
        <f>諸元!E42</f>
        <v>0</v>
      </c>
      <c r="B30">
        <f>諸元!F42</f>
        <v>0</v>
      </c>
    </row>
    <row r="31" spans="1:2">
      <c r="A31" t="str">
        <f>諸元!E43</f>
        <v>大気圧</v>
      </c>
      <c r="B31">
        <f>諸元!F43</f>
        <v>101.325</v>
      </c>
    </row>
    <row r="32" spans="1:2">
      <c r="A32" t="str">
        <f>諸元!E44</f>
        <v>気温</v>
      </c>
      <c r="B32">
        <f>諸元!F44</f>
        <v>15</v>
      </c>
    </row>
    <row r="33" spans="1:2">
      <c r="A33" t="str">
        <f>諸元!E45</f>
        <v>大気密度</v>
      </c>
      <c r="B33">
        <f>諸元!F45</f>
        <v>1.2247989235549592</v>
      </c>
    </row>
    <row r="34" spans="1:2">
      <c r="A34" t="str">
        <f>諸元!E46</f>
        <v>重力加速度</v>
      </c>
      <c r="B34">
        <f>諸元!F46</f>
        <v>9.8041</v>
      </c>
    </row>
    <row r="35" spans="1:2">
      <c r="A35" t="str">
        <f>諸元!E47</f>
        <v>風速測定点</v>
      </c>
      <c r="B35">
        <f>諸元!F47</f>
        <v>5</v>
      </c>
    </row>
    <row r="36" spans="1:2">
      <c r="A36" t="str">
        <f>諸元!E48</f>
        <v>高度分布係数</v>
      </c>
      <c r="B36">
        <f>諸元!F48</f>
        <v>6</v>
      </c>
    </row>
    <row r="37" spans="1:2">
      <c r="A37" t="str">
        <f>諸元!E49</f>
        <v>1段目分離信号</v>
      </c>
      <c r="B37">
        <f>諸元!F49</f>
        <v>0</v>
      </c>
    </row>
    <row r="38" spans="1:2">
      <c r="A38" t="str">
        <f>諸元!E50</f>
        <v>2段目分離信号</v>
      </c>
      <c r="B38">
        <f>諸元!F50</f>
        <v>300</v>
      </c>
    </row>
    <row r="39" spans="1:2">
      <c r="A39" t="str">
        <f>諸元!E51</f>
        <v>打上角</v>
      </c>
      <c r="B39">
        <f>諸元!F51</f>
        <v>-84</v>
      </c>
    </row>
    <row r="40" spans="1:2">
      <c r="A40" t="str">
        <f>諸元!E52</f>
        <v>方位</v>
      </c>
      <c r="B40">
        <f>諸元!F52</f>
        <v>170</v>
      </c>
    </row>
    <row r="41" spans="1:2">
      <c r="A41" t="str">
        <f>諸元!E53</f>
        <v>ランチャ長</v>
      </c>
      <c r="B41">
        <f>諸元!F53</f>
        <v>5</v>
      </c>
    </row>
  </sheetData>
  <phoneticPr fontId="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9"/>
  <sheetViews>
    <sheetView topLeftCell="A4" zoomScale="80" zoomScaleNormal="80" workbookViewId="0">
      <selection activeCell="F24" sqref="F24"/>
    </sheetView>
  </sheetViews>
  <sheetFormatPr defaultRowHeight="13.5"/>
  <cols>
    <col min="2" max="2" width="14.375" customWidth="1"/>
    <col min="3" max="3" width="7.125" bestFit="1" customWidth="1"/>
    <col min="4" max="4" width="6.375" customWidth="1"/>
    <col min="5" max="5" width="25.625" bestFit="1" customWidth="1"/>
    <col min="6" max="6" width="8.625" customWidth="1"/>
    <col min="7" max="7" width="5.125" bestFit="1" customWidth="1"/>
    <col min="8" max="8" width="66.5" customWidth="1"/>
    <col min="9" max="9" width="13.25" bestFit="1" customWidth="1"/>
    <col min="10" max="10" width="6.125" customWidth="1"/>
    <col min="11" max="11" width="13.125" customWidth="1"/>
    <col min="12" max="12" width="4.75" customWidth="1"/>
    <col min="13" max="13" width="7.625" customWidth="1"/>
    <col min="14" max="14" width="5.875" customWidth="1"/>
    <col min="15" max="15" width="3.625" customWidth="1"/>
    <col min="16" max="16" width="5.5" customWidth="1"/>
    <col min="17" max="17" width="6.125" customWidth="1"/>
  </cols>
  <sheetData>
    <row r="1" spans="2:14" ht="15" customHeight="1" thickBot="1">
      <c r="B1" s="190" t="s">
        <v>89</v>
      </c>
      <c r="C1" s="190"/>
      <c r="D1" s="190"/>
      <c r="E1" s="190"/>
      <c r="F1" s="190"/>
      <c r="G1" s="190"/>
      <c r="H1" s="190"/>
    </row>
    <row r="2" spans="2:14" ht="15" customHeight="1" thickBot="1">
      <c r="B2" s="193"/>
      <c r="C2" s="194"/>
      <c r="D2" s="201" t="s">
        <v>0</v>
      </c>
      <c r="E2" s="202"/>
      <c r="F2" s="202"/>
      <c r="G2" s="202"/>
      <c r="H2" s="202"/>
      <c r="I2" s="203"/>
    </row>
    <row r="3" spans="2:14" ht="15" customHeight="1" thickBot="1">
      <c r="B3" s="43" t="s">
        <v>66</v>
      </c>
      <c r="C3" s="25" t="s">
        <v>86</v>
      </c>
      <c r="D3" s="48" t="s">
        <v>1</v>
      </c>
      <c r="E3" s="49" t="s">
        <v>2</v>
      </c>
      <c r="F3" s="50" t="s">
        <v>57</v>
      </c>
      <c r="G3" s="51" t="s">
        <v>3</v>
      </c>
      <c r="H3" s="25" t="s">
        <v>60</v>
      </c>
      <c r="I3" s="61" t="s">
        <v>90</v>
      </c>
    </row>
    <row r="4" spans="2:14" ht="15" customHeight="1">
      <c r="B4" s="204" t="s">
        <v>67</v>
      </c>
      <c r="C4" s="197"/>
      <c r="D4" s="55" t="s">
        <v>341</v>
      </c>
      <c r="E4" s="56" t="s">
        <v>5</v>
      </c>
      <c r="F4" s="64">
        <v>2.1419999999999999</v>
      </c>
      <c r="G4" s="18" t="s">
        <v>6</v>
      </c>
      <c r="H4" s="57" t="s">
        <v>538</v>
      </c>
      <c r="I4" s="35" t="s">
        <v>140</v>
      </c>
      <c r="K4" t="s">
        <v>259</v>
      </c>
      <c r="L4" t="s">
        <v>305</v>
      </c>
      <c r="M4" s="132">
        <f>F4/F5</f>
        <v>18.152542372881356</v>
      </c>
    </row>
    <row r="5" spans="2:14" ht="15" customHeight="1">
      <c r="B5" s="205"/>
      <c r="C5" s="198"/>
      <c r="D5" s="52" t="s">
        <v>340</v>
      </c>
      <c r="E5" s="16" t="s">
        <v>63</v>
      </c>
      <c r="F5" s="67">
        <v>0.11799999999999999</v>
      </c>
      <c r="G5" s="53" t="s">
        <v>49</v>
      </c>
      <c r="H5" s="47" t="s">
        <v>152</v>
      </c>
      <c r="I5" s="36" t="s">
        <v>141</v>
      </c>
      <c r="M5" s="132"/>
    </row>
    <row r="6" spans="2:14" ht="15" customHeight="1">
      <c r="B6" s="205"/>
      <c r="C6" s="198"/>
      <c r="D6" s="52" t="s">
        <v>12</v>
      </c>
      <c r="E6" s="16" t="s">
        <v>151</v>
      </c>
      <c r="F6" s="20">
        <v>10.3507</v>
      </c>
      <c r="G6" s="53" t="s">
        <v>11</v>
      </c>
      <c r="H6" s="47" t="s">
        <v>543</v>
      </c>
      <c r="I6" s="36" t="s">
        <v>141</v>
      </c>
      <c r="K6" t="s">
        <v>312</v>
      </c>
      <c r="M6" s="132"/>
    </row>
    <row r="7" spans="2:14" ht="15" customHeight="1">
      <c r="B7" s="205"/>
      <c r="C7" s="198"/>
      <c r="D7" s="52" t="s">
        <v>342</v>
      </c>
      <c r="E7" s="16" t="s">
        <v>8</v>
      </c>
      <c r="F7" s="21">
        <v>1.2300773641707494</v>
      </c>
      <c r="G7" s="53" t="s">
        <v>6</v>
      </c>
      <c r="H7" s="47" t="s">
        <v>61</v>
      </c>
      <c r="I7" s="36" t="s">
        <v>141</v>
      </c>
      <c r="K7" t="s">
        <v>313</v>
      </c>
      <c r="M7" s="132">
        <f>F6*F7</f>
        <v>12.732161773322176</v>
      </c>
      <c r="N7" t="s">
        <v>309</v>
      </c>
    </row>
    <row r="8" spans="2:14" ht="15" customHeight="1">
      <c r="B8" s="205"/>
      <c r="C8" s="198"/>
      <c r="D8" s="52" t="s">
        <v>59</v>
      </c>
      <c r="E8" s="16" t="s">
        <v>47</v>
      </c>
      <c r="F8" s="24">
        <v>0.91500000000000004</v>
      </c>
      <c r="G8" s="53" t="s">
        <v>6</v>
      </c>
      <c r="H8" s="47" t="s">
        <v>536</v>
      </c>
      <c r="I8" s="36" t="s">
        <v>141</v>
      </c>
      <c r="K8" t="s">
        <v>314</v>
      </c>
      <c r="M8" s="132">
        <f>(F4-F8)*F24</f>
        <v>5.3370819000000003</v>
      </c>
      <c r="N8" t="s">
        <v>309</v>
      </c>
    </row>
    <row r="9" spans="2:14" ht="15" customHeight="1">
      <c r="B9" s="205"/>
      <c r="C9" s="198"/>
      <c r="D9" s="52" t="s">
        <v>58</v>
      </c>
      <c r="E9" s="16" t="s">
        <v>7</v>
      </c>
      <c r="F9" s="24">
        <v>0.309</v>
      </c>
      <c r="G9" s="53" t="s">
        <v>6</v>
      </c>
      <c r="H9" s="47" t="s">
        <v>537</v>
      </c>
      <c r="I9" s="36" t="s">
        <v>141</v>
      </c>
      <c r="K9" t="s">
        <v>310</v>
      </c>
      <c r="M9" s="132">
        <f>(F4-F9)*F25</f>
        <v>1.5017769000000001</v>
      </c>
      <c r="N9" t="s">
        <v>309</v>
      </c>
    </row>
    <row r="10" spans="2:14" ht="15" customHeight="1">
      <c r="B10" s="205"/>
      <c r="C10" s="198"/>
      <c r="D10" s="52" t="s">
        <v>142</v>
      </c>
      <c r="E10" s="16" t="s">
        <v>143</v>
      </c>
      <c r="F10" s="40">
        <v>1</v>
      </c>
      <c r="G10" s="53" t="s">
        <v>144</v>
      </c>
      <c r="H10" s="47" t="s">
        <v>197</v>
      </c>
      <c r="I10" s="36"/>
      <c r="K10" t="s">
        <v>311</v>
      </c>
      <c r="M10" s="132">
        <f>(F4-F9)*F26</f>
        <v>0.7837907999999999</v>
      </c>
      <c r="N10" t="s">
        <v>309</v>
      </c>
    </row>
    <row r="11" spans="2:14" ht="15" customHeight="1">
      <c r="B11" s="205"/>
      <c r="C11" s="198"/>
      <c r="D11" s="52" t="s">
        <v>82</v>
      </c>
      <c r="E11" s="16" t="s">
        <v>62</v>
      </c>
      <c r="F11" s="67">
        <v>3.5190000000000001</v>
      </c>
      <c r="G11" s="53" t="s">
        <v>4</v>
      </c>
      <c r="H11" s="47" t="s">
        <v>338</v>
      </c>
      <c r="I11" s="36"/>
      <c r="M11" s="132"/>
    </row>
    <row r="12" spans="2:14" ht="15" customHeight="1">
      <c r="B12" s="205"/>
      <c r="C12" s="198"/>
      <c r="D12" s="52" t="s">
        <v>83</v>
      </c>
      <c r="E12" s="19" t="s">
        <v>46</v>
      </c>
      <c r="F12" s="68">
        <v>2.1000000000000001E-2</v>
      </c>
      <c r="G12" s="53" t="s">
        <v>4</v>
      </c>
      <c r="H12" s="47" t="s">
        <v>339</v>
      </c>
      <c r="I12" s="36"/>
      <c r="M12" s="132"/>
    </row>
    <row r="13" spans="2:14" ht="15" customHeight="1">
      <c r="B13" s="191" t="s">
        <v>68</v>
      </c>
      <c r="C13" s="207"/>
      <c r="D13" s="52" t="s">
        <v>9</v>
      </c>
      <c r="E13" s="16" t="s">
        <v>10</v>
      </c>
      <c r="F13" s="20">
        <v>1.6156547419362786</v>
      </c>
      <c r="G13" s="53" t="s">
        <v>6</v>
      </c>
      <c r="H13" s="47" t="s">
        <v>72</v>
      </c>
      <c r="I13" s="36"/>
      <c r="K13" t="s">
        <v>248</v>
      </c>
      <c r="L13" t="s">
        <v>306</v>
      </c>
      <c r="M13" s="132">
        <f>(M7+M9)/(F6+F25)</f>
        <v>1.2743006869581177</v>
      </c>
      <c r="N13" t="s">
        <v>282</v>
      </c>
    </row>
    <row r="14" spans="2:14" ht="15" customHeight="1">
      <c r="B14" s="191"/>
      <c r="C14" s="207"/>
      <c r="D14" s="52" t="s">
        <v>64</v>
      </c>
      <c r="E14" s="16" t="s">
        <v>13</v>
      </c>
      <c r="F14" s="22">
        <v>-4.4418212038763415E-2</v>
      </c>
      <c r="G14" s="53" t="s">
        <v>14</v>
      </c>
      <c r="H14" s="47" t="s">
        <v>71</v>
      </c>
      <c r="I14" s="36"/>
      <c r="K14" t="s">
        <v>277</v>
      </c>
      <c r="L14" t="s">
        <v>308</v>
      </c>
      <c r="M14" s="132">
        <f>(M7+M8+M9)/(F6+F24+F25)</f>
        <v>1.2610437426833105</v>
      </c>
      <c r="N14" t="s">
        <v>282</v>
      </c>
    </row>
    <row r="15" spans="2:14" ht="15" customHeight="1">
      <c r="B15" s="191"/>
      <c r="C15" s="207"/>
      <c r="D15" s="52" t="s">
        <v>65</v>
      </c>
      <c r="E15" s="16" t="s">
        <v>13</v>
      </c>
      <c r="F15" s="22">
        <v>-2.722710315906804</v>
      </c>
      <c r="G15" s="53" t="s">
        <v>56</v>
      </c>
      <c r="H15" s="47" t="s">
        <v>70</v>
      </c>
      <c r="I15" s="36"/>
      <c r="K15" t="s">
        <v>293</v>
      </c>
      <c r="L15" t="s">
        <v>307</v>
      </c>
      <c r="M15" s="132">
        <f>(M7+M10)/(F6+F26)</f>
        <v>1.2539966945921135</v>
      </c>
      <c r="N15" t="s">
        <v>282</v>
      </c>
    </row>
    <row r="16" spans="2:14" ht="15" customHeight="1">
      <c r="B16" s="191"/>
      <c r="C16" s="207"/>
      <c r="D16" s="52" t="s">
        <v>15</v>
      </c>
      <c r="E16" s="16" t="s">
        <v>16</v>
      </c>
      <c r="F16" s="23">
        <v>0.3</v>
      </c>
      <c r="G16" s="53" t="s">
        <v>14</v>
      </c>
      <c r="H16" s="47" t="s">
        <v>73</v>
      </c>
      <c r="I16" s="36"/>
      <c r="M16" s="132"/>
    </row>
    <row r="17" spans="2:14" ht="15" customHeight="1">
      <c r="B17" s="191"/>
      <c r="C17" s="207"/>
      <c r="D17" s="52" t="s">
        <v>17</v>
      </c>
      <c r="E17" s="16" t="s">
        <v>18</v>
      </c>
      <c r="F17" s="22">
        <v>9.2763979112216628</v>
      </c>
      <c r="G17" s="53" t="s">
        <v>14</v>
      </c>
      <c r="H17" s="47" t="s">
        <v>74</v>
      </c>
      <c r="I17" s="36"/>
      <c r="K17" t="s">
        <v>465</v>
      </c>
      <c r="L17" t="s">
        <v>466</v>
      </c>
      <c r="M17" s="132">
        <f>F6+F25</f>
        <v>11.17</v>
      </c>
      <c r="N17" t="s">
        <v>467</v>
      </c>
    </row>
    <row r="18" spans="2:14" ht="15" customHeight="1">
      <c r="B18" s="191"/>
      <c r="C18" s="207"/>
      <c r="D18" s="52" t="s">
        <v>88</v>
      </c>
      <c r="E18" s="16" t="s">
        <v>19</v>
      </c>
      <c r="F18" s="23">
        <v>0</v>
      </c>
      <c r="G18" s="54" t="s">
        <v>55</v>
      </c>
      <c r="H18" s="47" t="s">
        <v>75</v>
      </c>
      <c r="I18" s="36"/>
      <c r="K18" t="s">
        <v>335</v>
      </c>
      <c r="L18" t="s">
        <v>336</v>
      </c>
      <c r="M18" s="132">
        <f>F6+F25+F24</f>
        <v>15.5197</v>
      </c>
      <c r="N18" t="s">
        <v>337</v>
      </c>
    </row>
    <row r="19" spans="2:14" ht="15" customHeight="1">
      <c r="B19" s="192" t="s">
        <v>177</v>
      </c>
      <c r="C19" s="206"/>
      <c r="D19" s="52" t="s">
        <v>181</v>
      </c>
      <c r="E19" s="16" t="s">
        <v>179</v>
      </c>
      <c r="F19" s="23">
        <v>9.1859999999999997E-2</v>
      </c>
      <c r="G19" s="53" t="s">
        <v>183</v>
      </c>
      <c r="H19" s="47" t="s">
        <v>471</v>
      </c>
      <c r="I19" s="36"/>
      <c r="K19" t="s">
        <v>327</v>
      </c>
      <c r="L19" t="s">
        <v>330</v>
      </c>
      <c r="M19" s="132">
        <f>F6+F26</f>
        <v>10.7783</v>
      </c>
      <c r="N19" t="s">
        <v>328</v>
      </c>
    </row>
    <row r="20" spans="2:14" ht="15" customHeight="1">
      <c r="B20" s="192"/>
      <c r="C20" s="206"/>
      <c r="D20" s="52" t="s">
        <v>182</v>
      </c>
      <c r="E20" s="16" t="s">
        <v>180</v>
      </c>
      <c r="F20" s="23">
        <v>0.63300000000000001</v>
      </c>
      <c r="G20" s="53" t="s">
        <v>183</v>
      </c>
      <c r="H20" s="47" t="s">
        <v>472</v>
      </c>
      <c r="I20" s="36"/>
    </row>
    <row r="21" spans="2:14" ht="15" customHeight="1">
      <c r="B21" s="195" t="s">
        <v>162</v>
      </c>
      <c r="C21" s="199"/>
      <c r="D21" s="52" t="s">
        <v>331</v>
      </c>
      <c r="E21" s="16" t="s">
        <v>332</v>
      </c>
      <c r="F21" s="24">
        <v>3000</v>
      </c>
      <c r="G21" s="53" t="s">
        <v>333</v>
      </c>
      <c r="H21" s="47" t="s">
        <v>334</v>
      </c>
      <c r="I21" s="36"/>
    </row>
    <row r="22" spans="2:14" ht="15" customHeight="1">
      <c r="B22" s="195"/>
      <c r="C22" s="199"/>
      <c r="D22" s="52" t="s">
        <v>545</v>
      </c>
      <c r="E22" s="16" t="s">
        <v>546</v>
      </c>
      <c r="F22" s="189">
        <v>42</v>
      </c>
      <c r="G22" s="53" t="s">
        <v>547</v>
      </c>
      <c r="H22" s="47" t="s">
        <v>548</v>
      </c>
      <c r="I22" s="36"/>
    </row>
    <row r="23" spans="2:14" ht="15" customHeight="1">
      <c r="B23" s="195"/>
      <c r="C23" s="199"/>
      <c r="D23" s="52" t="s">
        <v>186</v>
      </c>
      <c r="E23" s="16" t="s">
        <v>187</v>
      </c>
      <c r="F23" s="189">
        <v>150.22999999999999</v>
      </c>
      <c r="G23" s="53" t="s">
        <v>188</v>
      </c>
      <c r="H23" s="47" t="s">
        <v>189</v>
      </c>
      <c r="I23" s="36"/>
      <c r="M23" s="126"/>
    </row>
    <row r="24" spans="2:14" ht="15" customHeight="1">
      <c r="B24" s="195"/>
      <c r="C24" s="199"/>
      <c r="D24" s="52" t="s">
        <v>48</v>
      </c>
      <c r="E24" s="16" t="s">
        <v>51</v>
      </c>
      <c r="F24" s="24">
        <v>4.3497000000000003</v>
      </c>
      <c r="G24" s="53" t="s">
        <v>11</v>
      </c>
      <c r="H24" s="47" t="s">
        <v>76</v>
      </c>
      <c r="I24" s="36"/>
    </row>
    <row r="25" spans="2:14" ht="15" customHeight="1">
      <c r="B25" s="195"/>
      <c r="C25" s="199"/>
      <c r="D25" s="52" t="s">
        <v>149</v>
      </c>
      <c r="E25" s="16" t="s">
        <v>145</v>
      </c>
      <c r="F25" s="24">
        <v>0.81930000000000003</v>
      </c>
      <c r="G25" s="53" t="s">
        <v>11</v>
      </c>
      <c r="H25" s="47" t="s">
        <v>146</v>
      </c>
      <c r="I25" s="36"/>
      <c r="K25" s="125"/>
    </row>
    <row r="26" spans="2:14" ht="15" customHeight="1">
      <c r="B26" s="195"/>
      <c r="C26" s="199"/>
      <c r="D26" s="52" t="s">
        <v>150</v>
      </c>
      <c r="E26" s="16" t="s">
        <v>147</v>
      </c>
      <c r="F26" s="24">
        <v>0.42759999999999998</v>
      </c>
      <c r="G26" s="53" t="s">
        <v>148</v>
      </c>
      <c r="H26" s="47" t="s">
        <v>147</v>
      </c>
      <c r="I26" s="36"/>
    </row>
    <row r="27" spans="2:14" ht="15" customHeight="1">
      <c r="B27" s="195"/>
      <c r="C27" s="199"/>
      <c r="D27" s="52" t="s">
        <v>469</v>
      </c>
      <c r="E27" s="16" t="s">
        <v>470</v>
      </c>
      <c r="F27" s="24">
        <v>0.19</v>
      </c>
      <c r="G27" s="53" t="s">
        <v>49</v>
      </c>
      <c r="H27" s="47" t="s">
        <v>470</v>
      </c>
      <c r="I27" s="36"/>
    </row>
    <row r="28" spans="2:14" ht="15" customHeight="1">
      <c r="B28" s="195"/>
      <c r="C28" s="199"/>
      <c r="D28" s="52" t="s">
        <v>349</v>
      </c>
      <c r="E28" s="16" t="s">
        <v>353</v>
      </c>
      <c r="F28" s="24">
        <v>6.9000000000000006E-2</v>
      </c>
      <c r="G28" s="53" t="s">
        <v>352</v>
      </c>
      <c r="H28" s="47" t="s">
        <v>353</v>
      </c>
      <c r="I28" s="36"/>
    </row>
    <row r="29" spans="2:14" ht="15" customHeight="1">
      <c r="B29" s="195"/>
      <c r="C29" s="199"/>
      <c r="D29" s="52" t="s">
        <v>350</v>
      </c>
      <c r="E29" s="16" t="s">
        <v>351</v>
      </c>
      <c r="F29" s="24">
        <v>2.6925000000000001E-2</v>
      </c>
      <c r="G29" s="53" t="s">
        <v>352</v>
      </c>
      <c r="H29" s="47" t="s">
        <v>354</v>
      </c>
      <c r="I29" s="36"/>
    </row>
    <row r="30" spans="2:14" ht="15" customHeight="1">
      <c r="B30" s="195"/>
      <c r="C30" s="199"/>
      <c r="D30" s="52" t="s">
        <v>48</v>
      </c>
      <c r="E30" s="16" t="s">
        <v>52</v>
      </c>
      <c r="F30" s="24">
        <v>0.65544000000000002</v>
      </c>
      <c r="G30" s="53" t="s">
        <v>54</v>
      </c>
      <c r="H30" s="47" t="s">
        <v>77</v>
      </c>
      <c r="I30" s="36"/>
    </row>
    <row r="31" spans="2:14" ht="15" customHeight="1" thickBot="1">
      <c r="B31" s="196"/>
      <c r="C31" s="200"/>
      <c r="D31" s="58" t="s">
        <v>50</v>
      </c>
      <c r="E31" s="41" t="s">
        <v>53</v>
      </c>
      <c r="F31" s="42">
        <v>5.9026000000000002E-2</v>
      </c>
      <c r="G31" s="59" t="s">
        <v>54</v>
      </c>
      <c r="H31" s="60" t="s">
        <v>87</v>
      </c>
      <c r="I31" s="39"/>
    </row>
    <row r="32" spans="2:14" s="30" customFormat="1" ht="15" customHeight="1" thickBot="1">
      <c r="B32"/>
      <c r="C32"/>
      <c r="D32"/>
      <c r="E32"/>
      <c r="F32"/>
      <c r="G32"/>
      <c r="H32"/>
      <c r="I32"/>
      <c r="K32"/>
      <c r="L32"/>
      <c r="M32"/>
      <c r="N32"/>
    </row>
    <row r="33" spans="2:18" ht="15" customHeight="1" thickBot="1">
      <c r="D33" s="226" t="s">
        <v>178</v>
      </c>
      <c r="E33" s="227"/>
      <c r="F33" s="227"/>
      <c r="G33" s="227"/>
      <c r="H33" s="227"/>
      <c r="I33" s="228"/>
    </row>
    <row r="34" spans="2:18" ht="15" customHeight="1">
      <c r="B34" s="204" t="s">
        <v>67</v>
      </c>
      <c r="C34" s="230"/>
      <c r="D34" s="57" t="s">
        <v>172</v>
      </c>
      <c r="E34" s="56" t="s">
        <v>153</v>
      </c>
      <c r="F34" s="78">
        <v>444.96199999999999</v>
      </c>
      <c r="G34" s="18" t="s">
        <v>155</v>
      </c>
      <c r="H34" s="57" t="s">
        <v>159</v>
      </c>
      <c r="I34" s="35"/>
    </row>
    <row r="35" spans="2:18" ht="15" customHeight="1">
      <c r="B35" s="229"/>
      <c r="C35" s="231"/>
      <c r="D35" s="47" t="s">
        <v>173</v>
      </c>
      <c r="E35" s="16" t="s">
        <v>157</v>
      </c>
      <c r="F35" s="79">
        <v>114668.136</v>
      </c>
      <c r="G35" s="53" t="s">
        <v>154</v>
      </c>
      <c r="H35" s="47" t="s">
        <v>160</v>
      </c>
      <c r="I35" s="36"/>
      <c r="M35" s="125"/>
    </row>
    <row r="36" spans="2:18" ht="15" customHeight="1">
      <c r="B36" s="229"/>
      <c r="C36" s="231"/>
      <c r="D36" s="47" t="s">
        <v>174</v>
      </c>
      <c r="E36" s="65" t="s">
        <v>156</v>
      </c>
      <c r="F36" s="79">
        <v>0</v>
      </c>
      <c r="G36" s="53" t="s">
        <v>158</v>
      </c>
      <c r="H36" s="47" t="s">
        <v>161</v>
      </c>
      <c r="I36" s="36"/>
      <c r="K36" t="s">
        <v>321</v>
      </c>
      <c r="L36" t="s">
        <v>468</v>
      </c>
      <c r="P36" s="139"/>
    </row>
    <row r="37" spans="2:18" ht="15" customHeight="1">
      <c r="B37" s="229"/>
      <c r="C37" s="231"/>
      <c r="D37" s="47" t="s">
        <v>175</v>
      </c>
      <c r="E37" s="70" t="s">
        <v>163</v>
      </c>
      <c r="F37" s="79">
        <v>95.077492507899549</v>
      </c>
      <c r="G37" s="53" t="s">
        <v>165</v>
      </c>
      <c r="H37" s="66" t="s">
        <v>166</v>
      </c>
      <c r="I37" s="36"/>
      <c r="K37" s="133" t="s">
        <v>322</v>
      </c>
      <c r="L37" s="134"/>
      <c r="M37" s="135">
        <f>F37/1000/F5</f>
        <v>0.80574146193135221</v>
      </c>
      <c r="N37" s="134"/>
      <c r="O37" s="134"/>
      <c r="P37" s="139"/>
    </row>
    <row r="38" spans="2:18" ht="15" customHeight="1">
      <c r="B38" s="229"/>
      <c r="C38" s="231"/>
      <c r="D38" s="47" t="s">
        <v>176</v>
      </c>
      <c r="E38" s="70" t="s">
        <v>164</v>
      </c>
      <c r="F38" s="79">
        <v>65</v>
      </c>
      <c r="G38" s="53" t="s">
        <v>165</v>
      </c>
      <c r="H38" s="66" t="s">
        <v>167</v>
      </c>
      <c r="I38" s="36"/>
      <c r="K38" s="136" t="s">
        <v>323</v>
      </c>
      <c r="L38" s="137"/>
      <c r="M38" s="138">
        <f>DEGREES(ATAN(((F5*1000/2)-(F37/2))/F38))</f>
        <v>10.000000000000002</v>
      </c>
      <c r="N38" s="137" t="s">
        <v>325</v>
      </c>
      <c r="O38" s="137">
        <v>20</v>
      </c>
      <c r="P38" s="139" t="s">
        <v>324</v>
      </c>
    </row>
    <row r="39" spans="2:18" ht="15" customHeight="1">
      <c r="B39" s="232" t="s">
        <v>162</v>
      </c>
      <c r="C39" s="234"/>
      <c r="D39" s="52" t="s">
        <v>193</v>
      </c>
      <c r="E39" s="16" t="s">
        <v>190</v>
      </c>
      <c r="F39" s="24">
        <v>7754.8</v>
      </c>
      <c r="G39" s="53" t="s">
        <v>191</v>
      </c>
      <c r="H39" s="47" t="s">
        <v>192</v>
      </c>
      <c r="I39" s="36"/>
    </row>
    <row r="40" spans="2:18" ht="15" customHeight="1" thickBot="1">
      <c r="B40" s="233"/>
      <c r="C40" s="235"/>
      <c r="D40" s="71" t="s">
        <v>169</v>
      </c>
      <c r="E40" s="72" t="s">
        <v>168</v>
      </c>
      <c r="F40" s="80">
        <v>7.08</v>
      </c>
      <c r="G40" s="73" t="s">
        <v>170</v>
      </c>
      <c r="H40" s="74" t="s">
        <v>171</v>
      </c>
      <c r="I40" s="75"/>
    </row>
    <row r="41" spans="2:18" ht="15" customHeight="1" thickBot="1">
      <c r="B41" s="27"/>
      <c r="C41" s="27"/>
      <c r="D41" s="31"/>
      <c r="E41" s="12"/>
      <c r="F41" s="28"/>
      <c r="G41" s="26"/>
      <c r="H41" s="29"/>
      <c r="I41" s="30"/>
    </row>
    <row r="42" spans="2:18" ht="15" customHeight="1" thickBot="1">
      <c r="D42" s="201" t="s">
        <v>20</v>
      </c>
      <c r="E42" s="202"/>
      <c r="F42" s="202"/>
      <c r="G42" s="202"/>
      <c r="H42" s="202"/>
      <c r="I42" s="69"/>
    </row>
    <row r="43" spans="2:18" ht="15" customHeight="1">
      <c r="B43" s="223" t="s">
        <v>69</v>
      </c>
      <c r="C43" s="220"/>
      <c r="D43" s="9" t="s">
        <v>21</v>
      </c>
      <c r="E43" s="10" t="s">
        <v>22</v>
      </c>
      <c r="F43" s="13">
        <v>101.325</v>
      </c>
      <c r="G43" s="34" t="s">
        <v>23</v>
      </c>
      <c r="H43" s="44" t="s">
        <v>78</v>
      </c>
      <c r="I43" s="35"/>
    </row>
    <row r="44" spans="2:18" ht="15" customHeight="1">
      <c r="B44" s="224"/>
      <c r="C44" s="221"/>
      <c r="D44" s="2" t="s">
        <v>24</v>
      </c>
      <c r="E44" s="7" t="s">
        <v>25</v>
      </c>
      <c r="F44" s="127">
        <v>15</v>
      </c>
      <c r="G44" s="32" t="s">
        <v>26</v>
      </c>
      <c r="H44" s="45" t="s">
        <v>84</v>
      </c>
      <c r="I44" s="36"/>
    </row>
    <row r="45" spans="2:18" ht="15" customHeight="1">
      <c r="B45" s="224"/>
      <c r="C45" s="221"/>
      <c r="D45" s="1" t="s">
        <v>27</v>
      </c>
      <c r="E45" s="5" t="s">
        <v>28</v>
      </c>
      <c r="F45" s="14">
        <f>(F43*1000)/(287.1*(F44+273.15))</f>
        <v>1.2247989235549592</v>
      </c>
      <c r="G45" s="33" t="s">
        <v>29</v>
      </c>
      <c r="H45" s="45" t="s">
        <v>79</v>
      </c>
      <c r="I45" s="36"/>
    </row>
    <row r="46" spans="2:18" ht="15" customHeight="1">
      <c r="B46" s="224"/>
      <c r="C46" s="221"/>
      <c r="D46" s="1" t="s">
        <v>30</v>
      </c>
      <c r="E46" s="5" t="s">
        <v>31</v>
      </c>
      <c r="F46" s="14">
        <v>9.8041</v>
      </c>
      <c r="G46" s="33" t="s">
        <v>32</v>
      </c>
      <c r="H46" s="45" t="s">
        <v>91</v>
      </c>
      <c r="I46" s="36"/>
    </row>
    <row r="47" spans="2:18" ht="15" customHeight="1">
      <c r="B47" s="224"/>
      <c r="C47" s="221"/>
      <c r="D47" s="1" t="s">
        <v>194</v>
      </c>
      <c r="E47" s="77" t="s">
        <v>195</v>
      </c>
      <c r="F47" s="130">
        <v>5</v>
      </c>
      <c r="G47" s="33" t="s">
        <v>196</v>
      </c>
      <c r="H47" s="45"/>
      <c r="I47" s="36"/>
    </row>
    <row r="48" spans="2:18" ht="15" customHeight="1">
      <c r="B48" s="224"/>
      <c r="C48" s="221"/>
      <c r="D48" s="4" t="s">
        <v>34</v>
      </c>
      <c r="E48" s="76" t="s">
        <v>35</v>
      </c>
      <c r="F48" s="127">
        <v>6</v>
      </c>
      <c r="G48" s="33"/>
      <c r="H48" s="45" t="s">
        <v>80</v>
      </c>
      <c r="I48" s="36"/>
      <c r="P48" s="139"/>
      <c r="Q48" s="139"/>
      <c r="R48" s="139"/>
    </row>
    <row r="49" spans="2:18" ht="15" customHeight="1">
      <c r="B49" s="224"/>
      <c r="C49" s="221"/>
      <c r="D49" s="3" t="s">
        <v>36</v>
      </c>
      <c r="E49" s="8" t="s">
        <v>37</v>
      </c>
      <c r="F49" s="128">
        <v>0</v>
      </c>
      <c r="G49" s="33" t="s">
        <v>38</v>
      </c>
      <c r="H49" s="45" t="s">
        <v>544</v>
      </c>
      <c r="I49" s="36"/>
      <c r="Q49" s="139"/>
      <c r="R49" s="139"/>
    </row>
    <row r="50" spans="2:18" ht="15" customHeight="1">
      <c r="B50" s="224"/>
      <c r="C50" s="221"/>
      <c r="D50" s="15" t="s">
        <v>39</v>
      </c>
      <c r="E50" s="8" t="s">
        <v>40</v>
      </c>
      <c r="F50" s="129">
        <v>300</v>
      </c>
      <c r="G50" s="33" t="s">
        <v>6</v>
      </c>
      <c r="H50" s="45" t="s">
        <v>184</v>
      </c>
      <c r="I50" s="36"/>
      <c r="Q50" s="139"/>
      <c r="R50" s="139"/>
    </row>
    <row r="51" spans="2:18" ht="15" customHeight="1">
      <c r="B51" s="224"/>
      <c r="C51" s="221"/>
      <c r="D51" s="1" t="s">
        <v>41</v>
      </c>
      <c r="E51" s="6" t="s">
        <v>42</v>
      </c>
      <c r="F51" s="127">
        <v>-84</v>
      </c>
      <c r="G51" s="33" t="s">
        <v>33</v>
      </c>
      <c r="H51" s="45" t="s">
        <v>81</v>
      </c>
      <c r="I51" s="36"/>
      <c r="Q51" s="139"/>
      <c r="R51" s="139"/>
    </row>
    <row r="52" spans="2:18" ht="15" customHeight="1">
      <c r="B52" s="224"/>
      <c r="C52" s="221"/>
      <c r="D52" s="11" t="s">
        <v>43</v>
      </c>
      <c r="E52" s="6" t="s">
        <v>329</v>
      </c>
      <c r="F52" s="127">
        <v>170</v>
      </c>
      <c r="G52" s="33" t="s">
        <v>33</v>
      </c>
      <c r="H52" s="45" t="s">
        <v>185</v>
      </c>
      <c r="I52" s="36"/>
      <c r="Q52" s="139"/>
      <c r="R52" s="139"/>
    </row>
    <row r="53" spans="2:18" ht="15" customHeight="1" thickBot="1">
      <c r="B53" s="225"/>
      <c r="C53" s="222"/>
      <c r="D53" s="17" t="s">
        <v>44</v>
      </c>
      <c r="E53" s="37" t="s">
        <v>45</v>
      </c>
      <c r="F53" s="131">
        <v>5</v>
      </c>
      <c r="G53" s="38" t="s">
        <v>6</v>
      </c>
      <c r="H53" s="46" t="s">
        <v>139</v>
      </c>
      <c r="I53" s="39"/>
      <c r="P53" s="139"/>
      <c r="Q53" s="139"/>
      <c r="R53" s="139"/>
    </row>
    <row r="54" spans="2:18" ht="14.25" thickBot="1">
      <c r="P54" s="139"/>
      <c r="Q54" s="139"/>
      <c r="R54" s="139"/>
    </row>
    <row r="55" spans="2:18" ht="14.25" thickBot="1">
      <c r="B55" s="217" t="s">
        <v>85</v>
      </c>
      <c r="C55" s="218"/>
      <c r="D55" s="218"/>
      <c r="E55" s="218"/>
      <c r="F55" s="218"/>
      <c r="G55" s="218"/>
      <c r="H55" s="218"/>
      <c r="I55" s="219"/>
    </row>
    <row r="56" spans="2:18">
      <c r="B56" s="208"/>
      <c r="C56" s="209"/>
      <c r="D56" s="209"/>
      <c r="E56" s="209"/>
      <c r="F56" s="209"/>
      <c r="G56" s="209"/>
      <c r="H56" s="209"/>
      <c r="I56" s="210"/>
    </row>
    <row r="57" spans="2:18">
      <c r="B57" s="211"/>
      <c r="C57" s="212"/>
      <c r="D57" s="212"/>
      <c r="E57" s="212"/>
      <c r="F57" s="212"/>
      <c r="G57" s="212"/>
      <c r="H57" s="212"/>
      <c r="I57" s="213"/>
    </row>
    <row r="58" spans="2:18">
      <c r="B58" s="211"/>
      <c r="C58" s="212"/>
      <c r="D58" s="212"/>
      <c r="E58" s="212"/>
      <c r="F58" s="212"/>
      <c r="G58" s="212"/>
      <c r="H58" s="212"/>
      <c r="I58" s="213"/>
    </row>
    <row r="59" spans="2:18" ht="14.25" thickBot="1">
      <c r="B59" s="214"/>
      <c r="C59" s="215"/>
      <c r="D59" s="215"/>
      <c r="E59" s="215"/>
      <c r="F59" s="215"/>
      <c r="G59" s="215"/>
      <c r="H59" s="215"/>
      <c r="I59" s="216"/>
    </row>
  </sheetData>
  <mergeCells count="21">
    <mergeCell ref="D33:I33"/>
    <mergeCell ref="B34:B38"/>
    <mergeCell ref="C34:C38"/>
    <mergeCell ref="B39:B40"/>
    <mergeCell ref="C39:C40"/>
    <mergeCell ref="B56:I59"/>
    <mergeCell ref="B55:I55"/>
    <mergeCell ref="C43:C53"/>
    <mergeCell ref="B43:B53"/>
    <mergeCell ref="D42:H42"/>
    <mergeCell ref="B1:H1"/>
    <mergeCell ref="B13:B18"/>
    <mergeCell ref="B19:B20"/>
    <mergeCell ref="B2:C2"/>
    <mergeCell ref="B21:B31"/>
    <mergeCell ref="C4:C12"/>
    <mergeCell ref="C21:C31"/>
    <mergeCell ref="D2:I2"/>
    <mergeCell ref="B4:B12"/>
    <mergeCell ref="C19:C20"/>
    <mergeCell ref="C13:C18"/>
  </mergeCells>
  <phoneticPr fontId="13"/>
  <pageMargins left="0.18" right="0.18" top="0.75" bottom="0.32" header="0.3" footer="0.17"/>
  <pageSetup paperSize="9" orientation="landscape" horizontalDpi="360" verticalDpi="360" r:id="rId1"/>
  <headerFooter>
    <oddHeader>&amp;C&amp;22H36_15_02_17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21" sqref="D21"/>
    </sheetView>
  </sheetViews>
  <sheetFormatPr defaultRowHeight="13.5"/>
  <cols>
    <col min="1" max="1" width="11.625" bestFit="1" customWidth="1"/>
    <col min="4" max="4" width="13.375" customWidth="1"/>
    <col min="5" max="5" width="18.5" customWidth="1"/>
  </cols>
  <sheetData>
    <row r="1" spans="1:9">
      <c r="A1" t="s">
        <v>138</v>
      </c>
    </row>
    <row r="2" spans="1:9">
      <c r="A2" t="s">
        <v>92</v>
      </c>
      <c r="B2" t="s">
        <v>96</v>
      </c>
      <c r="D2" t="s">
        <v>94</v>
      </c>
      <c r="E2" t="s">
        <v>95</v>
      </c>
      <c r="F2" t="s">
        <v>105</v>
      </c>
    </row>
    <row r="3" spans="1:9">
      <c r="A3">
        <v>9.8024000000000004</v>
      </c>
      <c r="B3" t="s">
        <v>97</v>
      </c>
      <c r="D3" s="62" t="s">
        <v>99</v>
      </c>
      <c r="E3" s="62" t="s">
        <v>100</v>
      </c>
      <c r="F3">
        <v>0</v>
      </c>
    </row>
    <row r="4" spans="1:9">
      <c r="A4">
        <v>9.8020999999999994</v>
      </c>
      <c r="B4" t="s">
        <v>93</v>
      </c>
      <c r="D4" s="62" t="s">
        <v>101</v>
      </c>
      <c r="E4" s="62" t="s">
        <v>102</v>
      </c>
      <c r="F4">
        <v>10</v>
      </c>
    </row>
    <row r="5" spans="1:9">
      <c r="A5">
        <v>9.8041</v>
      </c>
      <c r="B5" t="s">
        <v>98</v>
      </c>
      <c r="D5" s="62" t="s">
        <v>103</v>
      </c>
      <c r="E5" s="62" t="s">
        <v>104</v>
      </c>
      <c r="F5">
        <v>3</v>
      </c>
    </row>
    <row r="8" spans="1:9">
      <c r="A8" t="s">
        <v>106</v>
      </c>
    </row>
    <row r="9" spans="1:9">
      <c r="B9" t="s">
        <v>107</v>
      </c>
      <c r="E9" t="s">
        <v>123</v>
      </c>
      <c r="H9" t="s">
        <v>97</v>
      </c>
    </row>
    <row r="10" spans="1:9" ht="27">
      <c r="B10" s="63" t="s">
        <v>108</v>
      </c>
      <c r="C10" s="63" t="s">
        <v>109</v>
      </c>
      <c r="E10" s="63" t="s">
        <v>108</v>
      </c>
      <c r="F10" s="63" t="s">
        <v>124</v>
      </c>
      <c r="H10" s="63" t="s">
        <v>108</v>
      </c>
      <c r="I10" s="63" t="s">
        <v>131</v>
      </c>
    </row>
    <row r="11" spans="1:9" ht="27">
      <c r="B11" s="63" t="s">
        <v>110</v>
      </c>
      <c r="C11" s="63" t="s">
        <v>111</v>
      </c>
      <c r="E11" s="63" t="s">
        <v>110</v>
      </c>
      <c r="F11" s="63" t="s">
        <v>125</v>
      </c>
      <c r="H11" s="63" t="s">
        <v>110</v>
      </c>
      <c r="I11" s="63" t="s">
        <v>132</v>
      </c>
    </row>
    <row r="14" spans="1:9">
      <c r="B14" t="s">
        <v>112</v>
      </c>
      <c r="E14" t="s">
        <v>112</v>
      </c>
      <c r="H14" t="s">
        <v>112</v>
      </c>
    </row>
    <row r="15" spans="1:9" ht="27">
      <c r="B15" s="63" t="s">
        <v>113</v>
      </c>
      <c r="C15" s="63" t="s">
        <v>114</v>
      </c>
      <c r="E15" s="63" t="s">
        <v>113</v>
      </c>
      <c r="F15" s="63" t="s">
        <v>126</v>
      </c>
      <c r="H15" s="63" t="s">
        <v>113</v>
      </c>
      <c r="I15" s="63" t="s">
        <v>133</v>
      </c>
    </row>
    <row r="16" spans="1:9" ht="27">
      <c r="B16" s="63" t="s">
        <v>115</v>
      </c>
      <c r="C16" s="63" t="s">
        <v>116</v>
      </c>
      <c r="E16" s="63" t="s">
        <v>115</v>
      </c>
      <c r="F16" s="63" t="s">
        <v>127</v>
      </c>
      <c r="H16" s="63" t="s">
        <v>115</v>
      </c>
      <c r="I16" s="63" t="s">
        <v>134</v>
      </c>
    </row>
    <row r="17" spans="2:9">
      <c r="B17" s="63" t="s">
        <v>117</v>
      </c>
      <c r="C17" s="63" t="s">
        <v>118</v>
      </c>
      <c r="E17" s="63" t="s">
        <v>117</v>
      </c>
      <c r="F17" s="63" t="s">
        <v>128</v>
      </c>
      <c r="H17" s="63" t="s">
        <v>117</v>
      </c>
      <c r="I17" s="63" t="s">
        <v>135</v>
      </c>
    </row>
    <row r="18" spans="2:9">
      <c r="B18" s="63" t="s">
        <v>119</v>
      </c>
      <c r="C18" s="63" t="s">
        <v>120</v>
      </c>
      <c r="E18" s="63" t="s">
        <v>119</v>
      </c>
      <c r="F18" s="63" t="s">
        <v>129</v>
      </c>
      <c r="H18" s="63" t="s">
        <v>119</v>
      </c>
      <c r="I18" s="63" t="s">
        <v>136</v>
      </c>
    </row>
    <row r="19" spans="2:9">
      <c r="B19" s="63" t="s">
        <v>121</v>
      </c>
      <c r="C19" s="63" t="s">
        <v>122</v>
      </c>
      <c r="E19" s="63" t="s">
        <v>121</v>
      </c>
      <c r="F19" s="63" t="s">
        <v>130</v>
      </c>
      <c r="H19" s="63" t="s">
        <v>121</v>
      </c>
      <c r="I19" s="63" t="s">
        <v>137</v>
      </c>
    </row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4"/>
  <sheetViews>
    <sheetView tabSelected="1" zoomScale="60" zoomScaleNormal="60" workbookViewId="0">
      <selection activeCell="U15" sqref="U15"/>
    </sheetView>
  </sheetViews>
  <sheetFormatPr defaultColWidth="9" defaultRowHeight="19.5" customHeight="1"/>
  <cols>
    <col min="1" max="1" width="9" style="143"/>
    <col min="2" max="2" width="31.625" style="143" customWidth="1"/>
    <col min="3" max="3" width="7.5" style="143" customWidth="1"/>
    <col min="4" max="4" width="8.875" style="143" customWidth="1"/>
    <col min="5" max="5" width="8" style="143" customWidth="1"/>
    <col min="6" max="6" width="9" style="143"/>
    <col min="7" max="7" width="29.875" style="143" customWidth="1"/>
    <col min="8" max="8" width="5.25" style="143" customWidth="1"/>
    <col min="9" max="9" width="9" style="143"/>
    <col min="10" max="10" width="6.75" style="143" customWidth="1"/>
    <col min="11" max="11" width="9" style="143"/>
    <col min="12" max="12" width="31.625" style="143" customWidth="1"/>
    <col min="13" max="13" width="4.375" style="143" customWidth="1"/>
    <col min="14" max="14" width="9" style="143"/>
    <col min="15" max="15" width="5.625" style="143" customWidth="1"/>
    <col min="16" max="16" width="9" style="143"/>
    <col min="17" max="17" width="27.375" style="143" customWidth="1"/>
    <col min="18" max="18" width="7.75" style="143" customWidth="1"/>
    <col min="19" max="19" width="9" style="143"/>
    <col min="20" max="20" width="7.75" style="143" customWidth="1"/>
    <col min="21" max="22" width="9" style="143"/>
    <col min="23" max="23" width="28.5" style="143" customWidth="1"/>
    <col min="24" max="24" width="7.375" style="143" customWidth="1"/>
    <col min="25" max="25" width="9" style="143"/>
    <col min="26" max="27" width="8.25" style="143" customWidth="1"/>
    <col min="28" max="28" width="8.5" style="143" customWidth="1"/>
    <col min="29" max="30" width="9.25" style="143" customWidth="1"/>
    <col min="31" max="16384" width="9" style="143"/>
  </cols>
  <sheetData>
    <row r="1" spans="1:58" ht="19.5" customHeight="1" thickBot="1">
      <c r="A1" s="140"/>
      <c r="B1" s="236" t="s">
        <v>505</v>
      </c>
      <c r="C1" s="237"/>
      <c r="D1" s="237"/>
      <c r="E1" s="237"/>
      <c r="F1" s="237"/>
      <c r="G1" s="237"/>
      <c r="H1" s="237"/>
      <c r="I1" s="237"/>
      <c r="J1" s="238"/>
      <c r="K1" s="141"/>
      <c r="L1" s="239" t="s">
        <v>504</v>
      </c>
      <c r="M1" s="239"/>
      <c r="N1" s="239"/>
      <c r="O1" s="239"/>
      <c r="P1" s="239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2"/>
    </row>
    <row r="2" spans="1:58" ht="19.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255" t="s">
        <v>528</v>
      </c>
      <c r="AC2" s="256"/>
      <c r="AD2" s="256"/>
      <c r="AE2" s="256"/>
      <c r="AF2" s="256"/>
      <c r="AG2" s="256"/>
      <c r="AH2" s="256"/>
      <c r="AI2" s="257"/>
      <c r="AJ2" s="146"/>
    </row>
    <row r="3" spans="1:58" ht="19.5" customHeight="1" thickBot="1">
      <c r="A3" s="144"/>
      <c r="B3" s="147" t="s">
        <v>294</v>
      </c>
      <c r="C3" s="147"/>
      <c r="D3" s="148">
        <v>2</v>
      </c>
      <c r="E3" s="147"/>
      <c r="F3" s="145"/>
      <c r="G3" s="147" t="s">
        <v>245</v>
      </c>
      <c r="H3" s="147" t="s">
        <v>246</v>
      </c>
      <c r="I3" s="149">
        <f>諸元!F5*1000</f>
        <v>118</v>
      </c>
      <c r="J3" s="147" t="s">
        <v>155</v>
      </c>
      <c r="K3" s="145"/>
      <c r="L3" s="147" t="s">
        <v>272</v>
      </c>
      <c r="M3" s="147"/>
      <c r="N3" s="148">
        <v>4</v>
      </c>
      <c r="O3" s="147" t="s">
        <v>273</v>
      </c>
      <c r="P3" s="145"/>
      <c r="Q3" s="147" t="s">
        <v>301</v>
      </c>
      <c r="R3" s="147" t="s">
        <v>506</v>
      </c>
      <c r="S3" s="149">
        <f>諸元!F37</f>
        <v>95.077492507899549</v>
      </c>
      <c r="T3" s="147" t="s">
        <v>155</v>
      </c>
      <c r="U3" s="145"/>
      <c r="V3" s="145"/>
      <c r="W3" s="244" t="s">
        <v>241</v>
      </c>
      <c r="X3" s="245"/>
      <c r="Y3" s="245"/>
      <c r="Z3" s="246"/>
      <c r="AA3" s="145"/>
      <c r="AB3" s="258"/>
      <c r="AC3" s="259"/>
      <c r="AD3" s="259"/>
      <c r="AE3" s="259"/>
      <c r="AF3" s="259"/>
      <c r="AG3" s="259"/>
      <c r="AH3" s="259"/>
      <c r="AI3" s="260"/>
      <c r="AJ3" s="146"/>
      <c r="AM3" s="236" t="s">
        <v>461</v>
      </c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8"/>
      <c r="BB3" s="236" t="s">
        <v>486</v>
      </c>
      <c r="BC3" s="237"/>
      <c r="BD3" s="237"/>
      <c r="BE3" s="237"/>
      <c r="BF3" s="238"/>
    </row>
    <row r="4" spans="1:58" ht="19.5" customHeight="1">
      <c r="A4" s="144"/>
      <c r="B4" s="147" t="s">
        <v>295</v>
      </c>
      <c r="C4" s="147"/>
      <c r="D4" s="147"/>
      <c r="E4" s="147"/>
      <c r="F4" s="145"/>
      <c r="G4" s="147" t="s">
        <v>251</v>
      </c>
      <c r="H4" s="147" t="s">
        <v>252</v>
      </c>
      <c r="I4" s="149">
        <f>I3/2</f>
        <v>59</v>
      </c>
      <c r="J4" s="147" t="s">
        <v>155</v>
      </c>
      <c r="K4" s="145"/>
      <c r="L4" s="147"/>
      <c r="M4" s="147"/>
      <c r="N4" s="149"/>
      <c r="O4" s="147"/>
      <c r="P4" s="145"/>
      <c r="Q4" s="147" t="s">
        <v>302</v>
      </c>
      <c r="R4" s="147" t="s">
        <v>507</v>
      </c>
      <c r="S4" s="149">
        <f>諸元!F38</f>
        <v>65</v>
      </c>
      <c r="T4" s="147" t="s">
        <v>155</v>
      </c>
      <c r="U4" s="145"/>
      <c r="V4" s="145"/>
      <c r="W4" s="150" t="s">
        <v>242</v>
      </c>
      <c r="X4" s="151"/>
      <c r="Y4" s="151" t="s">
        <v>243</v>
      </c>
      <c r="Z4" s="152" t="s">
        <v>244</v>
      </c>
      <c r="AA4" s="145"/>
      <c r="AB4" s="258"/>
      <c r="AC4" s="259"/>
      <c r="AD4" s="259"/>
      <c r="AE4" s="259"/>
      <c r="AF4" s="259"/>
      <c r="AG4" s="259"/>
      <c r="AH4" s="259"/>
      <c r="AI4" s="260"/>
      <c r="AJ4" s="146"/>
      <c r="AM4" s="144" t="s">
        <v>440</v>
      </c>
      <c r="AN4" s="145">
        <f>N12+I4</f>
        <v>164</v>
      </c>
      <c r="AO4" s="145"/>
      <c r="AP4" s="153" t="s">
        <v>406</v>
      </c>
      <c r="AQ4" s="154" t="s">
        <v>439</v>
      </c>
      <c r="AR4" s="154" t="s">
        <v>452</v>
      </c>
      <c r="AS4" s="154" t="s">
        <v>453</v>
      </c>
      <c r="AT4" s="154" t="s">
        <v>454</v>
      </c>
      <c r="AU4" s="154" t="s">
        <v>456</v>
      </c>
      <c r="AV4" s="155" t="s">
        <v>457</v>
      </c>
      <c r="AW4" s="145"/>
      <c r="AX4" s="145"/>
      <c r="AY4" s="146"/>
      <c r="BB4" s="144"/>
      <c r="BC4" s="145"/>
      <c r="BD4" s="145"/>
      <c r="BE4" s="145"/>
      <c r="BF4" s="146"/>
    </row>
    <row r="5" spans="1:58" ht="19.5" customHeight="1">
      <c r="A5" s="144"/>
      <c r="B5" s="147" t="s">
        <v>296</v>
      </c>
      <c r="C5" s="147"/>
      <c r="D5" s="147"/>
      <c r="E5" s="147"/>
      <c r="F5" s="145"/>
      <c r="G5" s="147" t="s">
        <v>256</v>
      </c>
      <c r="H5" s="147" t="s">
        <v>508</v>
      </c>
      <c r="I5" s="149">
        <f>諸元!F4*1000</f>
        <v>2142</v>
      </c>
      <c r="J5" s="147" t="s">
        <v>155</v>
      </c>
      <c r="K5" s="145"/>
      <c r="L5" s="147" t="s">
        <v>275</v>
      </c>
      <c r="M5" s="147" t="s">
        <v>509</v>
      </c>
      <c r="N5" s="148"/>
      <c r="O5" s="147" t="s">
        <v>155</v>
      </c>
      <c r="P5" s="145"/>
      <c r="Q5" s="147" t="s">
        <v>303</v>
      </c>
      <c r="R5" s="147" t="s">
        <v>304</v>
      </c>
      <c r="S5" s="147">
        <f>I5-S4</f>
        <v>2077</v>
      </c>
      <c r="T5" s="147" t="s">
        <v>155</v>
      </c>
      <c r="U5" s="145"/>
      <c r="V5" s="145"/>
      <c r="W5" s="156" t="s">
        <v>279</v>
      </c>
      <c r="X5" s="157" t="s">
        <v>478</v>
      </c>
      <c r="Y5" s="157">
        <f>S11/1000</f>
        <v>1.5540433503458937</v>
      </c>
      <c r="Z5" s="158" t="s">
        <v>49</v>
      </c>
      <c r="AA5" s="145"/>
      <c r="AB5" s="258"/>
      <c r="AC5" s="259"/>
      <c r="AD5" s="259"/>
      <c r="AE5" s="259"/>
      <c r="AF5" s="259"/>
      <c r="AG5" s="259"/>
      <c r="AH5" s="259"/>
      <c r="AI5" s="260"/>
      <c r="AJ5" s="146"/>
      <c r="AM5" s="144" t="s">
        <v>444</v>
      </c>
      <c r="AN5" s="145">
        <f>AN4/I4</f>
        <v>2.7796610169491527</v>
      </c>
      <c r="AO5" s="145"/>
      <c r="AP5" s="159">
        <v>1.3</v>
      </c>
      <c r="AQ5" s="160">
        <f>IF(AP5&gt;1,SQRT(AP5^2-1),SQRT(1-AP5^2))</f>
        <v>0.83066238629180755</v>
      </c>
      <c r="AR5" s="160">
        <f>AQ5*$AN$12</f>
        <v>2.2895061910016503</v>
      </c>
      <c r="AS5" s="160">
        <f>IF(AR5&gt;=1,4/AQ5*(1-1/(2*AR5)),IF(AR5&gt;=0.5,4/(PI()*AQ5)*((2-1/(AR5))*ASIN(AR5)+(AR5-2)*ACOSH(1/AR5)+(1+1/AR5)*(1-AQ5^2*$AN$12^2)^0.5),0))</f>
        <v>3.7638025221805362</v>
      </c>
      <c r="AT5" s="160">
        <f>0.5*(AR5-2/3)/(AR5-0.5)</f>
        <v>0.45343221847883708</v>
      </c>
      <c r="AU5" s="160">
        <f t="shared" ref="AU5:AU36" si="0">AT5*$Y$29</f>
        <v>99.758497872357509</v>
      </c>
      <c r="AV5" s="161">
        <f t="shared" ref="AV5:AV36" si="1">AU5+$N$6</f>
        <v>1956.7584978723576</v>
      </c>
      <c r="AW5" s="145" t="s">
        <v>459</v>
      </c>
      <c r="AX5" s="145"/>
      <c r="AY5" s="146"/>
      <c r="BB5" s="247" t="s">
        <v>487</v>
      </c>
      <c r="BC5" s="248"/>
      <c r="BD5" s="145"/>
      <c r="BE5" s="248" t="s">
        <v>237</v>
      </c>
      <c r="BF5" s="252"/>
    </row>
    <row r="6" spans="1:58" ht="19.5" customHeight="1">
      <c r="A6" s="144"/>
      <c r="B6" s="147"/>
      <c r="C6" s="147"/>
      <c r="D6" s="147"/>
      <c r="E6" s="147"/>
      <c r="F6" s="145"/>
      <c r="G6" s="147" t="s">
        <v>259</v>
      </c>
      <c r="H6" s="147" t="s">
        <v>260</v>
      </c>
      <c r="I6" s="147">
        <f>I5/I3</f>
        <v>18.152542372881356</v>
      </c>
      <c r="J6" s="147"/>
      <c r="K6" s="145"/>
      <c r="L6" s="147" t="s">
        <v>278</v>
      </c>
      <c r="M6" s="147" t="s">
        <v>509</v>
      </c>
      <c r="N6" s="149">
        <f>I5-S4-N9</f>
        <v>1857</v>
      </c>
      <c r="O6" s="147" t="s">
        <v>155</v>
      </c>
      <c r="P6" s="145"/>
      <c r="Q6" s="147"/>
      <c r="R6" s="147"/>
      <c r="S6" s="147"/>
      <c r="T6" s="147"/>
      <c r="U6" s="145"/>
      <c r="V6" s="145"/>
      <c r="W6" s="156" t="s">
        <v>348</v>
      </c>
      <c r="X6" s="157" t="s">
        <v>510</v>
      </c>
      <c r="Y6" s="157">
        <f>-4*2*($N$12+$I$4)^4/(PI()*$I$5^2*($I$3^2*PI()/4))</f>
        <v>-3.6713236970759087E-2</v>
      </c>
      <c r="Z6" s="158" t="s">
        <v>56</v>
      </c>
      <c r="AA6" s="145"/>
      <c r="AB6" s="258"/>
      <c r="AC6" s="259"/>
      <c r="AD6" s="259"/>
      <c r="AE6" s="259"/>
      <c r="AF6" s="259"/>
      <c r="AG6" s="259"/>
      <c r="AH6" s="259"/>
      <c r="AI6" s="260"/>
      <c r="AJ6" s="146"/>
      <c r="AM6" s="144" t="s">
        <v>441</v>
      </c>
      <c r="AN6" s="145">
        <f>I4/AN4</f>
        <v>0.3597560975609756</v>
      </c>
      <c r="AO6" s="145"/>
      <c r="AP6" s="162">
        <v>0</v>
      </c>
      <c r="AQ6" s="145">
        <f>IF(AP6&gt;1,SQRT(AP6^2-1),SQRT(1-AP6^2))</f>
        <v>1</v>
      </c>
      <c r="AR6" s="145">
        <f t="shared" ref="AR6:AR56" si="2">AQ6*$AN$12</f>
        <v>2.7562415594888368</v>
      </c>
      <c r="AS6" s="145">
        <f>2*PI()*$AN$12/(2+AQ6*$AN$12)</f>
        <v>3.6411053250792436</v>
      </c>
      <c r="AT6" s="145">
        <f>0.2*AR6</f>
        <v>0.55124831189776735</v>
      </c>
      <c r="AU6" s="145">
        <f t="shared" si="0"/>
        <v>121.27877400083933</v>
      </c>
      <c r="AV6" s="163">
        <f t="shared" si="1"/>
        <v>1978.2787740008393</v>
      </c>
      <c r="AW6" s="145"/>
      <c r="AX6" s="145"/>
      <c r="AY6" s="146"/>
      <c r="BB6" s="144" t="s">
        <v>488</v>
      </c>
      <c r="BC6" s="145" t="s">
        <v>489</v>
      </c>
      <c r="BD6" s="145"/>
      <c r="BE6" s="145" t="s">
        <v>488</v>
      </c>
      <c r="BF6" s="146" t="s">
        <v>489</v>
      </c>
    </row>
    <row r="7" spans="1:58" ht="19.5" customHeight="1">
      <c r="A7" s="144"/>
      <c r="B7" s="147" t="s">
        <v>297</v>
      </c>
      <c r="C7" s="147" t="s">
        <v>511</v>
      </c>
      <c r="D7" s="149">
        <f>諸元!F34</f>
        <v>444.96199999999999</v>
      </c>
      <c r="E7" s="147" t="s">
        <v>155</v>
      </c>
      <c r="F7" s="145"/>
      <c r="G7" s="147"/>
      <c r="H7" s="147"/>
      <c r="I7" s="147"/>
      <c r="J7" s="147"/>
      <c r="K7" s="145"/>
      <c r="L7" s="147"/>
      <c r="M7" s="147"/>
      <c r="N7" s="149"/>
      <c r="O7" s="147"/>
      <c r="P7" s="145"/>
      <c r="Q7" s="147" t="s">
        <v>261</v>
      </c>
      <c r="R7" s="147" t="s">
        <v>512</v>
      </c>
      <c r="S7" s="147">
        <f>2*((S3/I3)^2-(I3/I3)^2)</f>
        <v>-0.70156139304945486</v>
      </c>
      <c r="T7" s="147" t="s">
        <v>400</v>
      </c>
      <c r="U7" s="145"/>
      <c r="V7" s="145"/>
      <c r="W7" s="156" t="s">
        <v>347</v>
      </c>
      <c r="X7" s="157" t="s">
        <v>513</v>
      </c>
      <c r="Y7" s="157">
        <f>AVERAGE(S26,S32)</f>
        <v>-2.3813303557529757</v>
      </c>
      <c r="Z7" s="158" t="s">
        <v>56</v>
      </c>
      <c r="AA7" s="145"/>
      <c r="AB7" s="258"/>
      <c r="AC7" s="259"/>
      <c r="AD7" s="259"/>
      <c r="AE7" s="259"/>
      <c r="AF7" s="259"/>
      <c r="AG7" s="259"/>
      <c r="AH7" s="259"/>
      <c r="AI7" s="260"/>
      <c r="AJ7" s="146"/>
      <c r="AM7" s="144"/>
      <c r="AN7" s="145"/>
      <c r="AO7" s="145"/>
      <c r="AP7" s="162">
        <v>0.1</v>
      </c>
      <c r="AQ7" s="145">
        <f t="shared" ref="AQ7:AQ56" si="3">IF(AP7&gt;1,SQRT(AP7^2-1),SQRT(1-AP7^2))</f>
        <v>0.99498743710661997</v>
      </c>
      <c r="AR7" s="145">
        <f t="shared" si="2"/>
        <v>2.7424257253225512</v>
      </c>
      <c r="AS7" s="145">
        <f t="shared" ref="AS7:AS15" si="4">2*PI()*$AN$12/(2+AQ7*$AN$12)</f>
        <v>3.6517127463161576</v>
      </c>
      <c r="AT7" s="145">
        <f t="shared" ref="AT7:AT15" si="5">0.2*AR7</f>
        <v>0.54848514506451029</v>
      </c>
      <c r="AU7" s="145">
        <f t="shared" si="0"/>
        <v>120.67085651852813</v>
      </c>
      <c r="AV7" s="163">
        <f t="shared" si="1"/>
        <v>1977.6708565185281</v>
      </c>
      <c r="AW7" s="145"/>
      <c r="AX7" s="145"/>
      <c r="AY7" s="146"/>
      <c r="BB7" s="144">
        <v>0</v>
      </c>
      <c r="BC7" s="145">
        <v>0</v>
      </c>
      <c r="BD7" s="145"/>
      <c r="BE7" s="145">
        <f>I9</f>
        <v>1261.0437426833105</v>
      </c>
      <c r="BF7" s="146">
        <v>0</v>
      </c>
    </row>
    <row r="8" spans="1:58" ht="19.5" customHeight="1">
      <c r="A8" s="144"/>
      <c r="B8" s="147"/>
      <c r="C8" s="147"/>
      <c r="D8" s="147"/>
      <c r="E8" s="147"/>
      <c r="F8" s="145"/>
      <c r="G8" s="147" t="s">
        <v>263</v>
      </c>
      <c r="H8" s="147" t="s">
        <v>264</v>
      </c>
      <c r="I8" s="149">
        <f>諸元!M13*1000</f>
        <v>1274.3006869581177</v>
      </c>
      <c r="J8" s="147" t="s">
        <v>155</v>
      </c>
      <c r="K8" s="145"/>
      <c r="L8" s="147" t="s">
        <v>284</v>
      </c>
      <c r="M8" s="147"/>
      <c r="N8" s="149"/>
      <c r="O8" s="147"/>
      <c r="P8" s="145"/>
      <c r="Q8" s="147" t="s">
        <v>344</v>
      </c>
      <c r="R8" s="147" t="s">
        <v>514</v>
      </c>
      <c r="S8" s="147">
        <f>S7/2</f>
        <v>-0.35078069652472743</v>
      </c>
      <c r="T8" s="147"/>
      <c r="U8" s="145"/>
      <c r="V8" s="145"/>
      <c r="W8" s="156" t="s">
        <v>474</v>
      </c>
      <c r="X8" s="157" t="s">
        <v>515</v>
      </c>
      <c r="Y8" s="157">
        <v>0.3</v>
      </c>
      <c r="Z8" s="158" t="s">
        <v>479</v>
      </c>
      <c r="AA8" s="145"/>
      <c r="AB8" s="258"/>
      <c r="AC8" s="259"/>
      <c r="AD8" s="259"/>
      <c r="AE8" s="259"/>
      <c r="AF8" s="259"/>
      <c r="AG8" s="259"/>
      <c r="AH8" s="259"/>
      <c r="AI8" s="260"/>
      <c r="AJ8" s="146"/>
      <c r="AM8" s="144" t="s">
        <v>446</v>
      </c>
      <c r="AN8" s="145">
        <f>(PI()*0.5*((AN5^2-1)/AN5)^2+((AN5^2+1)/AN5)^2*ASIN((AN5^2-1)/(AN5^2+1))-2*(AN5^2-1)/AN5)/(PI()*(AN5-1)^2)</f>
        <v>1.3098511014404968</v>
      </c>
      <c r="AO8" s="145"/>
      <c r="AP8" s="162">
        <v>0.2</v>
      </c>
      <c r="AQ8" s="145">
        <f t="shared" si="3"/>
        <v>0.9797958971132712</v>
      </c>
      <c r="AR8" s="145">
        <f t="shared" si="2"/>
        <v>2.7005541714402463</v>
      </c>
      <c r="AS8" s="145">
        <f t="shared" si="4"/>
        <v>3.6842414400495667</v>
      </c>
      <c r="AT8" s="145">
        <f t="shared" si="5"/>
        <v>0.54011083428804929</v>
      </c>
      <c r="AU8" s="145">
        <f t="shared" si="0"/>
        <v>118.82844517295005</v>
      </c>
      <c r="AV8" s="163">
        <f t="shared" si="1"/>
        <v>1975.8284451729501</v>
      </c>
      <c r="AW8" s="145"/>
      <c r="AX8" s="145"/>
      <c r="AY8" s="146"/>
      <c r="BB8" s="144">
        <f>D7</f>
        <v>444.96199999999999</v>
      </c>
      <c r="BC8" s="145">
        <f>I4</f>
        <v>59</v>
      </c>
      <c r="BD8" s="145"/>
      <c r="BE8" s="145"/>
      <c r="BF8" s="146"/>
    </row>
    <row r="9" spans="1:58" ht="19.5" customHeight="1" thickBot="1">
      <c r="A9" s="144"/>
      <c r="B9" s="147" t="s">
        <v>298</v>
      </c>
      <c r="C9" s="147" t="s">
        <v>299</v>
      </c>
      <c r="D9" s="149">
        <f>D7/I3</f>
        <v>3.7708644067796611</v>
      </c>
      <c r="E9" s="147"/>
      <c r="F9" s="145"/>
      <c r="G9" s="147" t="s">
        <v>265</v>
      </c>
      <c r="H9" s="147" t="s">
        <v>266</v>
      </c>
      <c r="I9" s="149">
        <f>諸元!M14*1000</f>
        <v>1261.0437426833105</v>
      </c>
      <c r="J9" s="147" t="s">
        <v>155</v>
      </c>
      <c r="K9" s="145"/>
      <c r="L9" s="147" t="s">
        <v>396</v>
      </c>
      <c r="M9" s="147" t="s">
        <v>364</v>
      </c>
      <c r="N9" s="148">
        <v>220</v>
      </c>
      <c r="O9" s="147" t="s">
        <v>155</v>
      </c>
      <c r="P9" s="145"/>
      <c r="Q9" s="147" t="s">
        <v>262</v>
      </c>
      <c r="R9" s="147" t="s">
        <v>516</v>
      </c>
      <c r="S9" s="147">
        <f>S5+(S4/3)*(1+((1-(I3/S3))/(1-(I3/S3)^2)))</f>
        <v>2108.3345687685032</v>
      </c>
      <c r="T9" s="147" t="s">
        <v>155</v>
      </c>
      <c r="U9" s="145"/>
      <c r="V9" s="145"/>
      <c r="W9" s="164" t="s">
        <v>276</v>
      </c>
      <c r="X9" s="165" t="s">
        <v>517</v>
      </c>
      <c r="Y9" s="165">
        <f>D12+S7+I14</f>
        <v>8.741868021110017</v>
      </c>
      <c r="Z9" s="166" t="s">
        <v>480</v>
      </c>
      <c r="AA9" s="145"/>
      <c r="AB9" s="258"/>
      <c r="AC9" s="259"/>
      <c r="AD9" s="259"/>
      <c r="AE9" s="259"/>
      <c r="AF9" s="259"/>
      <c r="AG9" s="259"/>
      <c r="AH9" s="259"/>
      <c r="AI9" s="260"/>
      <c r="AJ9" s="146"/>
      <c r="AM9" s="144" t="s">
        <v>445</v>
      </c>
      <c r="AN9" s="145">
        <f>(1+AN6)^2-AN8</f>
        <v>0.53908554341375692</v>
      </c>
      <c r="AO9" s="145"/>
      <c r="AP9" s="162">
        <v>0.3</v>
      </c>
      <c r="AQ9" s="145">
        <f t="shared" si="3"/>
        <v>0.95393920141694566</v>
      </c>
      <c r="AR9" s="145">
        <f t="shared" si="2"/>
        <v>2.6292868721709777</v>
      </c>
      <c r="AS9" s="145">
        <f t="shared" si="4"/>
        <v>3.7409598816883149</v>
      </c>
      <c r="AT9" s="145">
        <f t="shared" si="5"/>
        <v>0.52585737443419556</v>
      </c>
      <c r="AU9" s="145">
        <f t="shared" si="0"/>
        <v>115.69257681918691</v>
      </c>
      <c r="AV9" s="163">
        <f t="shared" si="1"/>
        <v>1972.6925768191868</v>
      </c>
      <c r="AW9" s="145"/>
      <c r="AX9" s="145"/>
      <c r="AY9" s="146"/>
      <c r="BB9" s="144">
        <f>BB8</f>
        <v>444.96199999999999</v>
      </c>
      <c r="BC9" s="145">
        <f>-BC8</f>
        <v>-59</v>
      </c>
      <c r="BD9" s="145"/>
      <c r="BE9" s="248" t="s">
        <v>356</v>
      </c>
      <c r="BF9" s="252"/>
    </row>
    <row r="10" spans="1:58" ht="19.5" customHeight="1" thickBot="1">
      <c r="A10" s="144"/>
      <c r="B10" s="147" t="s">
        <v>300</v>
      </c>
      <c r="C10" s="147"/>
      <c r="D10" s="149">
        <f>IF(D3=1,2/3,IF(D3=2,1-((8*D9^2/3)+((4*D9^2-1)^2/4)-(((4*D9^2-1)*(4*D9^2+1)^2/(16*D9))*ASIN(4*D9/(4*D9^2+1)))),0))</f>
        <v>0.46399536776732475</v>
      </c>
      <c r="E10" s="147"/>
      <c r="F10" s="145"/>
      <c r="G10" s="147" t="s">
        <v>268</v>
      </c>
      <c r="H10" s="147" t="s">
        <v>269</v>
      </c>
      <c r="I10" s="149">
        <f>諸元!M15*1000</f>
        <v>1253.9966945921135</v>
      </c>
      <c r="J10" s="147" t="s">
        <v>155</v>
      </c>
      <c r="K10" s="145"/>
      <c r="L10" s="147" t="s">
        <v>286</v>
      </c>
      <c r="M10" s="147" t="s">
        <v>287</v>
      </c>
      <c r="N10" s="148">
        <v>120</v>
      </c>
      <c r="O10" s="147" t="s">
        <v>155</v>
      </c>
      <c r="P10" s="145"/>
      <c r="U10" s="145"/>
      <c r="V10" s="145"/>
      <c r="W10" s="156"/>
      <c r="X10" s="157"/>
      <c r="Y10" s="157"/>
      <c r="Z10" s="158"/>
      <c r="AA10" s="145"/>
      <c r="AB10" s="258"/>
      <c r="AC10" s="259"/>
      <c r="AD10" s="259"/>
      <c r="AE10" s="259"/>
      <c r="AF10" s="259"/>
      <c r="AG10" s="259"/>
      <c r="AH10" s="259"/>
      <c r="AI10" s="260"/>
      <c r="AJ10" s="146"/>
      <c r="AM10" s="144"/>
      <c r="AN10" s="145"/>
      <c r="AO10" s="145"/>
      <c r="AP10" s="162">
        <v>0.4</v>
      </c>
      <c r="AQ10" s="145">
        <f t="shared" si="3"/>
        <v>0.91651513899116799</v>
      </c>
      <c r="AR10" s="145">
        <f t="shared" si="2"/>
        <v>2.5261371159881447</v>
      </c>
      <c r="AS10" s="145">
        <f t="shared" si="4"/>
        <v>3.8262156063376693</v>
      </c>
      <c r="AT10" s="145">
        <f t="shared" si="5"/>
        <v>0.50522742319762892</v>
      </c>
      <c r="AU10" s="145">
        <f t="shared" si="0"/>
        <v>111.1538324100577</v>
      </c>
      <c r="AV10" s="163">
        <f t="shared" si="1"/>
        <v>1968.1538324100577</v>
      </c>
      <c r="AW10" s="145"/>
      <c r="AX10" s="145"/>
      <c r="AY10" s="146"/>
      <c r="BB10" s="144">
        <v>0</v>
      </c>
      <c r="BC10" s="145">
        <v>0</v>
      </c>
      <c r="BD10" s="145"/>
      <c r="BE10" s="145" t="s">
        <v>490</v>
      </c>
      <c r="BF10" s="146" t="s">
        <v>491</v>
      </c>
    </row>
    <row r="11" spans="1:58" ht="19.5" customHeight="1" thickBot="1">
      <c r="A11" s="144"/>
      <c r="B11" s="147"/>
      <c r="C11" s="147"/>
      <c r="D11" s="147"/>
      <c r="E11" s="147"/>
      <c r="F11" s="145"/>
      <c r="G11" s="145"/>
      <c r="H11" s="145"/>
      <c r="I11" s="145"/>
      <c r="J11" s="145"/>
      <c r="K11" s="145"/>
      <c r="L11" s="147" t="s">
        <v>372</v>
      </c>
      <c r="M11" s="147" t="s">
        <v>49</v>
      </c>
      <c r="N11" s="148">
        <v>150</v>
      </c>
      <c r="O11" s="147" t="s">
        <v>155</v>
      </c>
      <c r="P11" s="145"/>
      <c r="Q11" s="176" t="s">
        <v>279</v>
      </c>
      <c r="R11" s="177" t="s">
        <v>473</v>
      </c>
      <c r="S11" s="177">
        <f>(D12*D14+S7*S9+I14*I16)/Y9</f>
        <v>1554.0433503458937</v>
      </c>
      <c r="T11" s="178" t="s">
        <v>475</v>
      </c>
      <c r="U11" s="145"/>
      <c r="V11" s="145"/>
      <c r="W11" s="164"/>
      <c r="X11" s="165"/>
      <c r="Y11" s="165"/>
      <c r="Z11" s="166"/>
      <c r="AA11" s="145"/>
      <c r="AB11" s="261"/>
      <c r="AC11" s="262"/>
      <c r="AD11" s="262"/>
      <c r="AE11" s="262"/>
      <c r="AF11" s="262"/>
      <c r="AG11" s="262"/>
      <c r="AH11" s="262"/>
      <c r="AI11" s="263"/>
      <c r="AJ11" s="146"/>
      <c r="AM11" s="144"/>
      <c r="AN11" s="145"/>
      <c r="AO11" s="145"/>
      <c r="AP11" s="162">
        <v>0.5</v>
      </c>
      <c r="AQ11" s="145">
        <f t="shared" si="3"/>
        <v>0.8660254037844386</v>
      </c>
      <c r="AR11" s="145">
        <f t="shared" si="2"/>
        <v>2.3869752094837704</v>
      </c>
      <c r="AS11" s="145">
        <f t="shared" si="4"/>
        <v>3.9475893167073246</v>
      </c>
      <c r="AT11" s="145">
        <f t="shared" si="5"/>
        <v>0.47739504189675408</v>
      </c>
      <c r="AU11" s="145">
        <f t="shared" si="0"/>
        <v>105.03049922455855</v>
      </c>
      <c r="AV11" s="163">
        <f t="shared" si="1"/>
        <v>1962.0304992245585</v>
      </c>
      <c r="AW11" s="145"/>
      <c r="AX11" s="145"/>
      <c r="AY11" s="146"/>
      <c r="BB11" s="144"/>
      <c r="BC11" s="145"/>
      <c r="BD11" s="145"/>
      <c r="BE11" s="145">
        <f>S11</f>
        <v>1554.0433503458937</v>
      </c>
      <c r="BF11" s="146">
        <v>0</v>
      </c>
    </row>
    <row r="12" spans="1:58" ht="19.5" customHeight="1">
      <c r="A12" s="144"/>
      <c r="B12" s="147" t="s">
        <v>247</v>
      </c>
      <c r="C12" s="147" t="s">
        <v>518</v>
      </c>
      <c r="D12" s="147">
        <v>2</v>
      </c>
      <c r="E12" s="147" t="s">
        <v>400</v>
      </c>
      <c r="F12" s="145"/>
      <c r="G12" s="147" t="s">
        <v>267</v>
      </c>
      <c r="H12" s="147" t="s">
        <v>519</v>
      </c>
      <c r="I12" s="147">
        <f>4*N3*(N12/I3)^2/(1+SQRT(1+(2*N21/(N20+N10))^2))</f>
        <v>5.4740915870948577</v>
      </c>
      <c r="J12" s="147" t="s">
        <v>400</v>
      </c>
      <c r="K12" s="145"/>
      <c r="L12" s="147" t="s">
        <v>288</v>
      </c>
      <c r="M12" s="147" t="s">
        <v>289</v>
      </c>
      <c r="N12" s="148">
        <v>105</v>
      </c>
      <c r="O12" s="147" t="s">
        <v>155</v>
      </c>
      <c r="P12" s="145"/>
      <c r="Q12" s="145" t="s">
        <v>476</v>
      </c>
      <c r="R12" s="145"/>
      <c r="S12" s="145">
        <f>S11-I9</f>
        <v>292.99960766258323</v>
      </c>
      <c r="T12" s="145" t="s">
        <v>477</v>
      </c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6"/>
      <c r="AM12" s="144" t="s">
        <v>447</v>
      </c>
      <c r="AN12" s="145">
        <f>Y31*TAN(N18)</f>
        <v>2.7562415594888368</v>
      </c>
      <c r="AO12" s="145"/>
      <c r="AP12" s="162">
        <v>0.6</v>
      </c>
      <c r="AQ12" s="145">
        <f t="shared" si="3"/>
        <v>0.8</v>
      </c>
      <c r="AR12" s="145">
        <f t="shared" si="2"/>
        <v>2.2049932475910694</v>
      </c>
      <c r="AS12" s="145">
        <f t="shared" si="4"/>
        <v>4.1184314575389687</v>
      </c>
      <c r="AT12" s="145">
        <f t="shared" si="5"/>
        <v>0.44099864951821388</v>
      </c>
      <c r="AU12" s="145">
        <f t="shared" si="0"/>
        <v>97.02301920067147</v>
      </c>
      <c r="AV12" s="163">
        <f t="shared" si="1"/>
        <v>1954.0230192006716</v>
      </c>
      <c r="AW12" s="145"/>
      <c r="AX12" s="145"/>
      <c r="AY12" s="146"/>
      <c r="BB12" s="144"/>
      <c r="BC12" s="145"/>
      <c r="BD12" s="145"/>
      <c r="BE12" s="145"/>
      <c r="BF12" s="146"/>
    </row>
    <row r="13" spans="1:58" ht="19.5" customHeight="1">
      <c r="A13" s="144"/>
      <c r="B13" s="147" t="s">
        <v>343</v>
      </c>
      <c r="C13" s="147" t="s">
        <v>520</v>
      </c>
      <c r="D13" s="147">
        <f>D12/2</f>
        <v>1</v>
      </c>
      <c r="E13" s="147"/>
      <c r="F13" s="145"/>
      <c r="G13" s="147" t="s">
        <v>270</v>
      </c>
      <c r="H13" s="147" t="s">
        <v>521</v>
      </c>
      <c r="I13" s="147">
        <f>1+I4/(N12+I4)</f>
        <v>1.3597560975609757</v>
      </c>
      <c r="J13" s="147"/>
      <c r="K13" s="145"/>
      <c r="L13" s="147" t="s">
        <v>365</v>
      </c>
      <c r="M13" s="147" t="s">
        <v>367</v>
      </c>
      <c r="N13" s="148">
        <v>50</v>
      </c>
      <c r="O13" s="147" t="s">
        <v>361</v>
      </c>
      <c r="P13" s="145"/>
      <c r="Q13" s="143" t="s">
        <v>529</v>
      </c>
      <c r="S13" s="186">
        <f>I9/I5</f>
        <v>0.5887225689464568</v>
      </c>
      <c r="U13" s="145"/>
      <c r="V13" s="145"/>
      <c r="AF13" s="145"/>
      <c r="AG13" s="145"/>
      <c r="AH13" s="145"/>
      <c r="AI13" s="145"/>
      <c r="AJ13" s="146"/>
      <c r="AM13" s="144" t="s">
        <v>455</v>
      </c>
      <c r="AN13" s="145"/>
      <c r="AO13" s="145"/>
      <c r="AP13" s="162">
        <v>0.7</v>
      </c>
      <c r="AQ13" s="145">
        <f t="shared" si="3"/>
        <v>0.71414284285428498</v>
      </c>
      <c r="AR13" s="145">
        <f t="shared" si="2"/>
        <v>1.9683501828864858</v>
      </c>
      <c r="AS13" s="145">
        <f t="shared" si="4"/>
        <v>4.3640242598301437</v>
      </c>
      <c r="AT13" s="145">
        <f t="shared" si="5"/>
        <v>0.39367003657729716</v>
      </c>
      <c r="AU13" s="145">
        <f t="shared" si="0"/>
        <v>86.610368442841747</v>
      </c>
      <c r="AV13" s="163">
        <f t="shared" si="1"/>
        <v>1943.6103684428417</v>
      </c>
      <c r="AW13" s="145"/>
      <c r="AX13" s="145"/>
      <c r="AY13" s="146"/>
      <c r="BB13" s="247" t="s">
        <v>492</v>
      </c>
      <c r="BC13" s="248"/>
      <c r="BD13" s="145"/>
      <c r="BE13" s="248" t="s">
        <v>355</v>
      </c>
      <c r="BF13" s="252"/>
    </row>
    <row r="14" spans="1:58" ht="19.5" customHeight="1">
      <c r="A14" s="144"/>
      <c r="B14" s="147" t="s">
        <v>253</v>
      </c>
      <c r="C14" s="147" t="s">
        <v>523</v>
      </c>
      <c r="D14" s="147">
        <f>D7*D10</f>
        <v>206.46030683248435</v>
      </c>
      <c r="E14" s="147" t="s">
        <v>155</v>
      </c>
      <c r="F14" s="145"/>
      <c r="G14" s="147" t="s">
        <v>271</v>
      </c>
      <c r="H14" s="147" t="s">
        <v>524</v>
      </c>
      <c r="I14" s="147">
        <f>I12*I13</f>
        <v>7.4434294141594712</v>
      </c>
      <c r="J14" s="147" t="s">
        <v>400</v>
      </c>
      <c r="K14" s="145"/>
      <c r="L14" s="147"/>
      <c r="M14" s="147"/>
      <c r="N14" s="147">
        <f>RADIANS(N13)</f>
        <v>0.87266462599716477</v>
      </c>
      <c r="O14" s="147" t="s">
        <v>368</v>
      </c>
      <c r="P14" s="145"/>
      <c r="Q14" s="145" t="s">
        <v>530</v>
      </c>
      <c r="R14" s="145"/>
      <c r="S14" s="187">
        <f>S11/I5</f>
        <v>0.72551043433515117</v>
      </c>
      <c r="T14" s="145"/>
      <c r="U14" s="145"/>
      <c r="V14" s="145"/>
      <c r="W14" s="145" t="s">
        <v>320</v>
      </c>
      <c r="AF14" s="145"/>
      <c r="AG14" s="249" t="s">
        <v>357</v>
      </c>
      <c r="AH14" s="250"/>
      <c r="AI14" s="251"/>
      <c r="AJ14" s="146"/>
      <c r="AM14" s="144"/>
      <c r="AN14" s="145"/>
      <c r="AO14" s="145"/>
      <c r="AP14" s="162">
        <v>0.8</v>
      </c>
      <c r="AQ14" s="145">
        <f t="shared" si="3"/>
        <v>0.59999999999999987</v>
      </c>
      <c r="AR14" s="145">
        <f t="shared" si="2"/>
        <v>1.6537449356933016</v>
      </c>
      <c r="AS14" s="145">
        <f t="shared" si="4"/>
        <v>4.7397880187090582</v>
      </c>
      <c r="AT14" s="145">
        <f t="shared" si="5"/>
        <v>0.33074898713866036</v>
      </c>
      <c r="AU14" s="145">
        <f t="shared" si="0"/>
        <v>72.767264400503592</v>
      </c>
      <c r="AV14" s="163">
        <f t="shared" si="1"/>
        <v>1929.7672644005036</v>
      </c>
      <c r="AW14" s="145"/>
      <c r="AX14" s="145"/>
      <c r="AY14" s="146"/>
      <c r="BB14" s="144" t="s">
        <v>490</v>
      </c>
      <c r="BC14" s="145" t="s">
        <v>491</v>
      </c>
      <c r="BD14" s="145"/>
      <c r="BE14" s="145" t="s">
        <v>490</v>
      </c>
      <c r="BF14" s="146" t="s">
        <v>491</v>
      </c>
    </row>
    <row r="15" spans="1:58" ht="19.5" customHeight="1">
      <c r="A15" s="144"/>
      <c r="B15" s="145"/>
      <c r="C15" s="145"/>
      <c r="D15" s="145"/>
      <c r="E15" s="145"/>
      <c r="F15" s="145"/>
      <c r="G15" s="147" t="s">
        <v>345</v>
      </c>
      <c r="H15" s="147" t="s">
        <v>525</v>
      </c>
      <c r="I15" s="147">
        <f>I14/2</f>
        <v>3.7217147070797356</v>
      </c>
      <c r="J15" s="147"/>
      <c r="K15" s="145"/>
      <c r="L15" s="147" t="s">
        <v>366</v>
      </c>
      <c r="M15" s="147" t="s">
        <v>362</v>
      </c>
      <c r="N15" s="148">
        <v>0</v>
      </c>
      <c r="O15" s="147" t="s">
        <v>363</v>
      </c>
      <c r="P15" s="145"/>
      <c r="U15" s="145"/>
      <c r="V15" s="145"/>
      <c r="W15" s="145" t="s">
        <v>326</v>
      </c>
      <c r="AF15" s="145"/>
      <c r="AG15" s="240" t="s">
        <v>248</v>
      </c>
      <c r="AH15" s="170" t="s">
        <v>255</v>
      </c>
      <c r="AI15" s="171"/>
      <c r="AJ15" s="146"/>
      <c r="AM15" s="144"/>
      <c r="AN15" s="145"/>
      <c r="AO15" s="145"/>
      <c r="AP15" s="162">
        <v>0.9</v>
      </c>
      <c r="AQ15" s="145">
        <f t="shared" si="3"/>
        <v>0.43588989435406728</v>
      </c>
      <c r="AR15" s="145">
        <f t="shared" si="2"/>
        <v>1.2014178421798787</v>
      </c>
      <c r="AS15" s="145">
        <f t="shared" si="4"/>
        <v>5.4094708417774102</v>
      </c>
      <c r="AT15" s="145">
        <f t="shared" si="5"/>
        <v>0.24028356843597576</v>
      </c>
      <c r="AU15" s="145">
        <f t="shared" si="0"/>
        <v>52.864191986616667</v>
      </c>
      <c r="AV15" s="163">
        <f t="shared" si="1"/>
        <v>1909.8641919866166</v>
      </c>
      <c r="AW15" s="145"/>
      <c r="AX15" s="145"/>
      <c r="AY15" s="146"/>
      <c r="BB15" s="144">
        <f>D7</f>
        <v>444.96199999999999</v>
      </c>
      <c r="BC15" s="145">
        <f>I4</f>
        <v>59</v>
      </c>
      <c r="BD15" s="145"/>
      <c r="BE15" s="145">
        <v>0</v>
      </c>
      <c r="BF15" s="146">
        <v>0</v>
      </c>
    </row>
    <row r="16" spans="1:58" ht="19.5" customHeight="1">
      <c r="A16" s="144"/>
      <c r="F16" s="145"/>
      <c r="G16" s="147" t="s">
        <v>274</v>
      </c>
      <c r="H16" s="147" t="s">
        <v>509</v>
      </c>
      <c r="I16" s="147">
        <f>N6+(N11*(N20+2*N10)/(3*(N20+N10)))+(N20+N10-(N20*N10/(N20+N10)))/6</f>
        <v>1968.3732559283628</v>
      </c>
      <c r="J16" s="147" t="s">
        <v>155</v>
      </c>
      <c r="K16" s="145"/>
      <c r="L16" s="147" t="s">
        <v>290</v>
      </c>
      <c r="M16" s="147" t="s">
        <v>360</v>
      </c>
      <c r="N16" s="149">
        <f>90-DEGREES(ATAN((N12-(N15/TAN(N14)))/(N10+N11-N9-N15)))</f>
        <v>25.463345061871607</v>
      </c>
      <c r="O16" s="147" t="s">
        <v>370</v>
      </c>
      <c r="P16" s="145"/>
      <c r="Q16" s="147" t="s">
        <v>481</v>
      </c>
      <c r="R16" s="147" t="s">
        <v>522</v>
      </c>
      <c r="S16" s="147">
        <f>Y9/2</f>
        <v>4.3709340105550085</v>
      </c>
      <c r="T16" s="145"/>
      <c r="U16" s="145"/>
      <c r="V16" s="145"/>
      <c r="W16" s="145"/>
      <c r="X16" s="145"/>
      <c r="Y16" s="145"/>
      <c r="AF16" s="145"/>
      <c r="AG16" s="253"/>
      <c r="AH16" s="145" t="s">
        <v>266</v>
      </c>
      <c r="AI16" s="163"/>
      <c r="AJ16" s="146"/>
      <c r="AM16" s="144"/>
      <c r="AN16" s="145"/>
      <c r="AO16" s="145"/>
      <c r="AP16" s="173">
        <v>1</v>
      </c>
      <c r="AQ16" s="174">
        <f t="shared" si="3"/>
        <v>0</v>
      </c>
      <c r="AR16" s="174">
        <f t="shared" si="2"/>
        <v>0</v>
      </c>
      <c r="AS16" s="174">
        <f>AVERAGE(AS15,AS17)</f>
        <v>5.3414127378403151</v>
      </c>
      <c r="AT16" s="174">
        <f>AVERAGE(AT15,AT17)</f>
        <v>0.31553769100754492</v>
      </c>
      <c r="AU16" s="174">
        <f t="shared" si="0"/>
        <v>69.420664862820971</v>
      </c>
      <c r="AV16" s="175">
        <f t="shared" si="1"/>
        <v>1926.420664862821</v>
      </c>
      <c r="AW16" s="145" t="s">
        <v>460</v>
      </c>
      <c r="AX16" s="145"/>
      <c r="AY16" s="146"/>
      <c r="BB16" s="144">
        <f>I5-S4</f>
        <v>2077</v>
      </c>
      <c r="BC16" s="145">
        <f>BC15</f>
        <v>59</v>
      </c>
      <c r="BD16" s="145"/>
      <c r="BE16" s="145">
        <f>N9</f>
        <v>220</v>
      </c>
      <c r="BF16" s="146">
        <f>BF15</f>
        <v>0</v>
      </c>
    </row>
    <row r="17" spans="1:58" ht="19.5" customHeight="1">
      <c r="A17" s="144"/>
      <c r="F17" s="145"/>
      <c r="K17" s="145"/>
      <c r="L17" s="147"/>
      <c r="M17" s="147"/>
      <c r="N17" s="149">
        <f>RADIANS(_xlfn.FLOOR.MATH(N16*100)/100)</f>
        <v>0.4443608275577563</v>
      </c>
      <c r="O17" s="147" t="s">
        <v>371</v>
      </c>
      <c r="P17" s="145"/>
      <c r="Q17" s="167"/>
      <c r="R17" s="167"/>
      <c r="S17" s="167"/>
      <c r="T17" s="145"/>
      <c r="U17" s="145"/>
      <c r="V17" s="145"/>
      <c r="W17" s="249" t="s">
        <v>319</v>
      </c>
      <c r="X17" s="250"/>
      <c r="Y17" s="251"/>
      <c r="AF17" s="145"/>
      <c r="AG17" s="253"/>
      <c r="AH17" s="145" t="s">
        <v>358</v>
      </c>
      <c r="AI17" s="163"/>
      <c r="AJ17" s="146"/>
      <c r="AM17" s="144"/>
      <c r="AN17" s="145"/>
      <c r="AO17" s="145"/>
      <c r="AP17" s="162">
        <v>1.1000000000000001</v>
      </c>
      <c r="AQ17" s="145">
        <f t="shared" si="3"/>
        <v>0.45825756949558422</v>
      </c>
      <c r="AR17" s="145">
        <f t="shared" si="2"/>
        <v>1.263068557994073</v>
      </c>
      <c r="AS17" s="145">
        <f t="shared" ref="AS17:AS56" si="6">IF(AR17&gt;=1,4/AQ17*(1-1/(2*AR17)),IF(AR17&gt;=0.5,4/(PI()*AQ17)*((2-1/(AR17))*ASIN(AR17)+(AR17-2)*ACOSH(1/AR17)+(1+1/AR17)*(1-AQ17^2*$AN$12^2)^0.5),0))</f>
        <v>5.2733546339032191</v>
      </c>
      <c r="AT17" s="145">
        <f t="shared" ref="AT17:AT56" si="7">0.5*(AR17-2/3)/(AR17-0.5)</f>
        <v>0.39079181357911408</v>
      </c>
      <c r="AU17" s="145">
        <f t="shared" si="0"/>
        <v>85.977137739025281</v>
      </c>
      <c r="AV17" s="163">
        <f t="shared" si="1"/>
        <v>1942.9771377390252</v>
      </c>
      <c r="AW17" s="145"/>
      <c r="AX17" s="145"/>
      <c r="AY17" s="146"/>
      <c r="BB17" s="144">
        <f>BB16</f>
        <v>2077</v>
      </c>
      <c r="BC17" s="145">
        <f>-BC16</f>
        <v>-59</v>
      </c>
      <c r="BD17" s="145"/>
      <c r="BE17" s="145">
        <f>BE16+N15</f>
        <v>220</v>
      </c>
      <c r="BF17" s="146">
        <f>BF16+N15*TAN(RADIANS((90-N13)))</f>
        <v>0</v>
      </c>
    </row>
    <row r="18" spans="1:58" ht="19.5" customHeight="1">
      <c r="A18" s="144"/>
      <c r="F18" s="145"/>
      <c r="K18" s="145"/>
      <c r="L18" s="147" t="s">
        <v>442</v>
      </c>
      <c r="M18" s="147" t="s">
        <v>458</v>
      </c>
      <c r="N18" s="147">
        <f>RADIANS(90)-ATAN(N12/N11)</f>
        <v>0.96007036240568799</v>
      </c>
      <c r="O18" s="147" t="s">
        <v>443</v>
      </c>
      <c r="P18" s="145"/>
      <c r="Q18" s="168" t="s">
        <v>248</v>
      </c>
      <c r="R18" s="168"/>
      <c r="S18" s="168"/>
      <c r="T18" s="145"/>
      <c r="U18" s="145"/>
      <c r="V18" s="145"/>
      <c r="W18" s="169" t="s">
        <v>249</v>
      </c>
      <c r="X18" s="170" t="s">
        <v>250</v>
      </c>
      <c r="Y18" s="171"/>
      <c r="AF18" s="145"/>
      <c r="AG18" s="253"/>
      <c r="AH18" s="145" t="s">
        <v>258</v>
      </c>
      <c r="AI18" s="163"/>
      <c r="AJ18" s="146"/>
      <c r="AM18" s="144"/>
      <c r="AN18" s="145"/>
      <c r="AO18" s="145"/>
      <c r="AP18" s="162">
        <v>1.2</v>
      </c>
      <c r="AQ18" s="145">
        <f t="shared" si="3"/>
        <v>0.66332495807107994</v>
      </c>
      <c r="AR18" s="145">
        <f t="shared" si="2"/>
        <v>1.8282838168817006</v>
      </c>
      <c r="AS18" s="145">
        <f t="shared" si="6"/>
        <v>4.3810773350492278</v>
      </c>
      <c r="AT18" s="145">
        <f t="shared" si="7"/>
        <v>0.43726240410805578</v>
      </c>
      <c r="AU18" s="145">
        <f t="shared" si="0"/>
        <v>96.201017113898146</v>
      </c>
      <c r="AV18" s="163">
        <f t="shared" si="1"/>
        <v>1953.2010171138982</v>
      </c>
      <c r="AW18" s="145"/>
      <c r="AX18" s="145"/>
      <c r="AY18" s="146"/>
      <c r="BB18" s="144">
        <f>BB15</f>
        <v>444.96199999999999</v>
      </c>
      <c r="BC18" s="145">
        <f>BC17</f>
        <v>-59</v>
      </c>
      <c r="BD18" s="145"/>
      <c r="BE18" s="145">
        <f>N10+N11</f>
        <v>270</v>
      </c>
      <c r="BF18" s="146">
        <f>N12</f>
        <v>105</v>
      </c>
    </row>
    <row r="19" spans="1:58" ht="19.5" customHeight="1">
      <c r="A19" s="144"/>
      <c r="F19" s="145"/>
      <c r="G19" s="147" t="s">
        <v>531</v>
      </c>
      <c r="H19" s="147" t="s">
        <v>532</v>
      </c>
      <c r="I19" s="147">
        <v>400</v>
      </c>
      <c r="J19" s="147" t="s">
        <v>533</v>
      </c>
      <c r="K19" s="145"/>
      <c r="L19" s="243" t="s">
        <v>373</v>
      </c>
      <c r="M19" s="243"/>
      <c r="N19" s="243"/>
      <c r="O19" s="243"/>
      <c r="P19" s="145"/>
      <c r="Q19" s="172" t="s">
        <v>254</v>
      </c>
      <c r="R19" s="172" t="s">
        <v>482</v>
      </c>
      <c r="S19" s="172">
        <f>(S11-I8)/I3</f>
        <v>2.3707005371845424</v>
      </c>
      <c r="T19" s="145"/>
      <c r="U19" s="145"/>
      <c r="V19" s="145"/>
      <c r="W19" s="162">
        <v>1.6</v>
      </c>
      <c r="X19" s="145">
        <v>1.8</v>
      </c>
      <c r="Y19" s="163"/>
      <c r="AF19" s="145"/>
      <c r="AG19" s="253"/>
      <c r="AH19" s="145" t="s">
        <v>266</v>
      </c>
      <c r="AI19" s="163"/>
      <c r="AJ19" s="146"/>
      <c r="AM19" s="144"/>
      <c r="AN19" s="145"/>
      <c r="AO19" s="145"/>
      <c r="AP19" s="162">
        <v>1.3</v>
      </c>
      <c r="AQ19" s="145">
        <f t="shared" si="3"/>
        <v>0.83066238629180755</v>
      </c>
      <c r="AR19" s="145">
        <f t="shared" si="2"/>
        <v>2.2895061910016503</v>
      </c>
      <c r="AS19" s="145">
        <f t="shared" si="6"/>
        <v>3.7638025221805362</v>
      </c>
      <c r="AT19" s="145">
        <f t="shared" si="7"/>
        <v>0.45343221847883708</v>
      </c>
      <c r="AU19" s="145">
        <f t="shared" si="0"/>
        <v>99.758497872357509</v>
      </c>
      <c r="AV19" s="163">
        <f t="shared" si="1"/>
        <v>1956.7584978723576</v>
      </c>
      <c r="AW19" s="145"/>
      <c r="AX19" s="145"/>
      <c r="AY19" s="146"/>
      <c r="BB19" s="144">
        <f>BB15</f>
        <v>444.96199999999999</v>
      </c>
      <c r="BC19" s="145">
        <f>BC15</f>
        <v>59</v>
      </c>
      <c r="BD19" s="145"/>
      <c r="BE19" s="145">
        <f>BE18-N10</f>
        <v>150</v>
      </c>
      <c r="BF19" s="146">
        <f>BF18</f>
        <v>105</v>
      </c>
    </row>
    <row r="20" spans="1:58" ht="19.5" customHeight="1">
      <c r="A20" s="144"/>
      <c r="F20" s="145"/>
      <c r="G20" s="145"/>
      <c r="H20" s="145"/>
      <c r="I20" s="145"/>
      <c r="J20" s="145"/>
      <c r="K20" s="145"/>
      <c r="L20" s="147" t="s">
        <v>369</v>
      </c>
      <c r="M20" s="147" t="s">
        <v>285</v>
      </c>
      <c r="N20" s="147">
        <f>(N10+N11)*(1-(N12/((N10+N11)/TAN(N17))))</f>
        <v>220.00751999278918</v>
      </c>
      <c r="O20" s="147" t="s">
        <v>386</v>
      </c>
      <c r="P20" s="145"/>
      <c r="Q20" s="172" t="s">
        <v>257</v>
      </c>
      <c r="R20" s="172" t="s">
        <v>483</v>
      </c>
      <c r="S20" s="172">
        <f>100*(S11-I8)/I5</f>
        <v>13.059881577393838</v>
      </c>
      <c r="T20" s="145"/>
      <c r="U20" s="145"/>
      <c r="V20" s="145"/>
      <c r="W20" s="162">
        <v>14</v>
      </c>
      <c r="X20" s="145">
        <v>16</v>
      </c>
      <c r="Y20" s="163"/>
      <c r="AF20" s="145"/>
      <c r="AG20" s="253"/>
      <c r="AH20" s="145" t="s">
        <v>358</v>
      </c>
      <c r="AI20" s="163"/>
      <c r="AJ20" s="146"/>
      <c r="AM20" s="144"/>
      <c r="AN20" s="145"/>
      <c r="AO20" s="145"/>
      <c r="AP20" s="162">
        <v>1.4</v>
      </c>
      <c r="AQ20" s="145">
        <f t="shared" si="3"/>
        <v>0.97979589711327109</v>
      </c>
      <c r="AR20" s="145">
        <f t="shared" si="2"/>
        <v>2.7005541714402463</v>
      </c>
      <c r="AS20" s="145">
        <f t="shared" si="6"/>
        <v>3.3266226912400265</v>
      </c>
      <c r="AT20" s="145">
        <f t="shared" si="7"/>
        <v>0.46213075123763381</v>
      </c>
      <c r="AU20" s="145">
        <f t="shared" si="0"/>
        <v>101.67224049219641</v>
      </c>
      <c r="AV20" s="163">
        <f t="shared" si="1"/>
        <v>1958.6722404921964</v>
      </c>
      <c r="AW20" s="145"/>
      <c r="AX20" s="145"/>
      <c r="AY20" s="146"/>
      <c r="BB20" s="144"/>
      <c r="BC20" s="145"/>
      <c r="BD20" s="145"/>
      <c r="BE20" s="145">
        <f>BE15</f>
        <v>0</v>
      </c>
      <c r="BF20" s="146">
        <f>BF15</f>
        <v>0</v>
      </c>
    </row>
    <row r="21" spans="1:58" ht="19.5" customHeight="1">
      <c r="A21" s="144"/>
      <c r="F21" s="145"/>
      <c r="K21" s="145"/>
      <c r="L21" s="147"/>
      <c r="M21" s="147" t="s">
        <v>292</v>
      </c>
      <c r="N21" s="149">
        <f>SQRT(((N9/2)-((N10/2)-N12*TAN(N17)))^2+N12^2)</f>
        <v>144.99481390033387</v>
      </c>
      <c r="O21" s="147" t="s">
        <v>155</v>
      </c>
      <c r="P21" s="145"/>
      <c r="Q21" s="167"/>
      <c r="R21" s="167"/>
      <c r="S21" s="167"/>
      <c r="T21" s="145"/>
      <c r="U21" s="145"/>
      <c r="V21" s="145"/>
      <c r="W21" s="162"/>
      <c r="X21" s="145"/>
      <c r="Y21" s="163"/>
      <c r="AF21" s="145"/>
      <c r="AG21" s="162"/>
      <c r="AH21" s="145"/>
      <c r="AI21" s="163"/>
      <c r="AJ21" s="146"/>
      <c r="AM21" s="144"/>
      <c r="AN21" s="145"/>
      <c r="AO21" s="145"/>
      <c r="AP21" s="162">
        <v>1.5</v>
      </c>
      <c r="AQ21" s="145">
        <f t="shared" si="3"/>
        <v>1.1180339887498949</v>
      </c>
      <c r="AR21" s="145">
        <f t="shared" si="2"/>
        <v>3.0815717447135347</v>
      </c>
      <c r="AS21" s="145">
        <f t="shared" si="6"/>
        <v>2.9972081201095357</v>
      </c>
      <c r="AT21" s="145">
        <f t="shared" si="7"/>
        <v>0.46771992352953939</v>
      </c>
      <c r="AU21" s="145">
        <f t="shared" si="0"/>
        <v>102.90190042695097</v>
      </c>
      <c r="AV21" s="163">
        <f t="shared" si="1"/>
        <v>1959.901900426951</v>
      </c>
      <c r="AW21" s="145"/>
      <c r="AX21" s="145"/>
      <c r="AY21" s="146"/>
      <c r="BB21" s="247" t="s">
        <v>493</v>
      </c>
      <c r="BC21" s="248"/>
      <c r="BD21" s="145"/>
      <c r="BE21" s="145"/>
      <c r="BF21" s="146"/>
    </row>
    <row r="22" spans="1:58" ht="19.5" customHeight="1">
      <c r="A22" s="144"/>
      <c r="F22" s="145"/>
      <c r="K22" s="145"/>
      <c r="L22" s="145"/>
      <c r="M22" s="145"/>
      <c r="N22" s="145"/>
      <c r="O22" s="145"/>
      <c r="P22" s="145"/>
      <c r="Q22" s="168" t="s">
        <v>277</v>
      </c>
      <c r="R22" s="168"/>
      <c r="S22" s="168"/>
      <c r="T22" s="145"/>
      <c r="U22" s="145"/>
      <c r="V22" s="145"/>
      <c r="W22" s="162"/>
      <c r="X22" s="145"/>
      <c r="Y22" s="163"/>
      <c r="AF22" s="145"/>
      <c r="AG22" s="253" t="s">
        <v>277</v>
      </c>
      <c r="AH22" s="145" t="s">
        <v>255</v>
      </c>
      <c r="AI22" s="163">
        <v>1.3</v>
      </c>
      <c r="AJ22" s="146"/>
      <c r="AM22" s="144"/>
      <c r="AN22" s="145"/>
      <c r="AO22" s="145"/>
      <c r="AP22" s="162">
        <v>1.6</v>
      </c>
      <c r="AQ22" s="145">
        <f t="shared" si="3"/>
        <v>1.2489995996796799</v>
      </c>
      <c r="AR22" s="145">
        <f t="shared" si="2"/>
        <v>3.4425446044220536</v>
      </c>
      <c r="AS22" s="145">
        <f t="shared" si="6"/>
        <v>2.737418329394909</v>
      </c>
      <c r="AT22" s="145">
        <f t="shared" si="7"/>
        <v>0.47167984022804615</v>
      </c>
      <c r="AU22" s="145">
        <f t="shared" si="0"/>
        <v>103.77311187916747</v>
      </c>
      <c r="AV22" s="163">
        <f t="shared" si="1"/>
        <v>1960.7731118791676</v>
      </c>
      <c r="AW22" s="145"/>
      <c r="AX22" s="145"/>
      <c r="AY22" s="146"/>
      <c r="BB22" s="144" t="s">
        <v>494</v>
      </c>
      <c r="BC22" s="145" t="s">
        <v>495</v>
      </c>
      <c r="BD22" s="145"/>
      <c r="BE22" s="145"/>
      <c r="BF22" s="146"/>
    </row>
    <row r="23" spans="1:58" ht="19.5" customHeight="1">
      <c r="A23" s="144"/>
      <c r="F23" s="145"/>
      <c r="K23" s="145"/>
      <c r="L23" s="145"/>
      <c r="M23" s="145"/>
      <c r="N23" s="145"/>
      <c r="O23" s="145"/>
      <c r="P23" s="145"/>
      <c r="Q23" s="172" t="s">
        <v>317</v>
      </c>
      <c r="R23" s="172" t="s">
        <v>484</v>
      </c>
      <c r="S23" s="172">
        <f>(S11-I9)/I3</f>
        <v>2.4830475225642648</v>
      </c>
      <c r="T23" s="145">
        <v>1.3</v>
      </c>
      <c r="U23" s="145">
        <v>1.7</v>
      </c>
      <c r="V23" s="145"/>
      <c r="W23" s="162">
        <v>1.5</v>
      </c>
      <c r="X23" s="145" t="s">
        <v>281</v>
      </c>
      <c r="Y23" s="163"/>
      <c r="AF23" s="145"/>
      <c r="AG23" s="253"/>
      <c r="AH23" s="145" t="s">
        <v>266</v>
      </c>
      <c r="AI23" s="163">
        <f>-(AI22*$I$3-$Y$7)</f>
        <v>-155.78133035575297</v>
      </c>
      <c r="AJ23" s="146"/>
      <c r="AM23" s="144"/>
      <c r="AN23" s="145"/>
      <c r="AO23" s="145"/>
      <c r="AP23" s="162">
        <v>1.7</v>
      </c>
      <c r="AQ23" s="145">
        <f t="shared" si="3"/>
        <v>1.3747727084867518</v>
      </c>
      <c r="AR23" s="145">
        <f t="shared" si="2"/>
        <v>3.7892056739822166</v>
      </c>
      <c r="AS23" s="145">
        <f t="shared" si="6"/>
        <v>2.5256428725314013</v>
      </c>
      <c r="AT23" s="145">
        <f t="shared" si="7"/>
        <v>0.47466460246238046</v>
      </c>
      <c r="AU23" s="145">
        <f t="shared" si="0"/>
        <v>104.4297820161115</v>
      </c>
      <c r="AV23" s="163">
        <f t="shared" si="1"/>
        <v>1961.4297820161114</v>
      </c>
      <c r="AW23" s="145"/>
      <c r="AX23" s="145"/>
      <c r="AY23" s="146"/>
      <c r="BB23" s="144">
        <f>BB16</f>
        <v>2077</v>
      </c>
      <c r="BC23" s="145">
        <f>BC16</f>
        <v>59</v>
      </c>
      <c r="BD23" s="145"/>
      <c r="BE23" s="248" t="s">
        <v>496</v>
      </c>
      <c r="BF23" s="252"/>
    </row>
    <row r="24" spans="1:58" ht="19.5" customHeight="1">
      <c r="A24" s="144"/>
      <c r="F24" s="145"/>
      <c r="K24" s="145"/>
      <c r="L24" s="145"/>
      <c r="M24" s="145"/>
      <c r="N24" s="145"/>
      <c r="O24" s="145"/>
      <c r="P24" s="145"/>
      <c r="Q24" s="172" t="s">
        <v>318</v>
      </c>
      <c r="R24" s="172" t="s">
        <v>485</v>
      </c>
      <c r="S24" s="172">
        <f>(S11-I9)/I5*100</f>
        <v>13.678786538869431</v>
      </c>
      <c r="T24" s="145">
        <v>12</v>
      </c>
      <c r="U24" s="145">
        <v>15</v>
      </c>
      <c r="V24" s="145"/>
      <c r="W24" s="153">
        <v>10.6</v>
      </c>
      <c r="X24" s="154" t="s">
        <v>283</v>
      </c>
      <c r="Y24" s="155"/>
      <c r="AF24" s="145"/>
      <c r="AG24" s="253"/>
      <c r="AH24" s="145" t="s">
        <v>358</v>
      </c>
      <c r="AI24" s="163">
        <f>$I$9-AI23</f>
        <v>1416.8250730390635</v>
      </c>
      <c r="AJ24" s="146"/>
      <c r="AM24" s="144"/>
      <c r="AN24" s="145"/>
      <c r="AO24" s="145"/>
      <c r="AP24" s="162">
        <v>1.8</v>
      </c>
      <c r="AQ24" s="145">
        <f t="shared" si="3"/>
        <v>1.4966629547095767</v>
      </c>
      <c r="AR24" s="145">
        <f t="shared" si="2"/>
        <v>4.1251646363178942</v>
      </c>
      <c r="AS24" s="145">
        <f t="shared" si="6"/>
        <v>2.3486723276676993</v>
      </c>
      <c r="AT24" s="145">
        <f t="shared" si="7"/>
        <v>0.47701253827247542</v>
      </c>
      <c r="AU24" s="145">
        <f t="shared" si="0"/>
        <v>104.94634555079276</v>
      </c>
      <c r="AV24" s="163">
        <f t="shared" si="1"/>
        <v>1961.9463455507928</v>
      </c>
      <c r="AW24" s="145"/>
      <c r="AX24" s="145"/>
      <c r="AY24" s="146"/>
      <c r="BB24" s="144">
        <f>BB23+S4</f>
        <v>2142</v>
      </c>
      <c r="BC24" s="145">
        <f>S3/2</f>
        <v>47.538746253949775</v>
      </c>
      <c r="BD24" s="145"/>
      <c r="BE24" s="145" t="s">
        <v>497</v>
      </c>
      <c r="BF24" s="146" t="s">
        <v>498</v>
      </c>
    </row>
    <row r="25" spans="1:58" ht="19.5" customHeight="1">
      <c r="A25" s="144"/>
      <c r="F25" s="145"/>
      <c r="K25" s="145"/>
      <c r="L25" s="145"/>
      <c r="M25" s="145"/>
      <c r="N25" s="145"/>
      <c r="O25" s="145"/>
      <c r="P25" s="145"/>
      <c r="Q25" s="167" t="s">
        <v>346</v>
      </c>
      <c r="R25" s="167" t="s">
        <v>526</v>
      </c>
      <c r="S25" s="167">
        <f>2*$S$16*S24/100</f>
        <v>1.1957814661173287</v>
      </c>
      <c r="T25" s="145"/>
      <c r="U25" s="145"/>
      <c r="V25" s="145"/>
      <c r="W25" s="145"/>
      <c r="X25" s="145"/>
      <c r="Y25" s="145"/>
      <c r="AF25" s="145"/>
      <c r="AG25" s="253"/>
      <c r="AH25" s="145" t="s">
        <v>258</v>
      </c>
      <c r="AI25" s="163">
        <v>12</v>
      </c>
      <c r="AJ25" s="146"/>
      <c r="AM25" s="144"/>
      <c r="AN25" s="145"/>
      <c r="AO25" s="145"/>
      <c r="AP25" s="162">
        <v>1.9</v>
      </c>
      <c r="AQ25" s="145">
        <f t="shared" si="3"/>
        <v>1.6155494421403511</v>
      </c>
      <c r="AR25" s="145">
        <f t="shared" si="2"/>
        <v>4.4528445138362418</v>
      </c>
      <c r="AS25" s="145">
        <f t="shared" si="6"/>
        <v>2.1979202926048829</v>
      </c>
      <c r="AT25" s="145">
        <f t="shared" si="7"/>
        <v>0.47891813527153942</v>
      </c>
      <c r="AU25" s="145">
        <f t="shared" si="0"/>
        <v>105.36559122066252</v>
      </c>
      <c r="AV25" s="163">
        <f t="shared" si="1"/>
        <v>1962.3655912206625</v>
      </c>
      <c r="AW25" s="145"/>
      <c r="AX25" s="145"/>
      <c r="AY25" s="146"/>
      <c r="BB25" s="144">
        <f>BB24</f>
        <v>2142</v>
      </c>
      <c r="BC25" s="145">
        <f>-BC24</f>
        <v>-47.538746253949775</v>
      </c>
      <c r="BD25" s="145"/>
      <c r="BE25" s="145">
        <v>0</v>
      </c>
      <c r="BF25" s="146">
        <v>0</v>
      </c>
    </row>
    <row r="26" spans="1:58" ht="19.5" customHeight="1">
      <c r="A26" s="144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67" t="s">
        <v>347</v>
      </c>
      <c r="R26" s="167" t="s">
        <v>527</v>
      </c>
      <c r="S26" s="167">
        <f>-4*(($D$13*(($D$14-$I9)/$I$5)^2)+($S$8*(($S$9-$I9)/$I$5)^2)+($I$15*(($I$16-$I9)/$I$5)^2))</f>
        <v>-2.3733676416719418</v>
      </c>
      <c r="T26" s="145"/>
      <c r="U26" s="145"/>
      <c r="V26" s="145"/>
      <c r="W26" s="145"/>
      <c r="X26" s="145"/>
      <c r="Y26" s="145"/>
      <c r="AF26" s="145"/>
      <c r="AG26" s="253"/>
      <c r="AH26" s="145" t="s">
        <v>266</v>
      </c>
      <c r="AI26" s="163">
        <f>-(AI25/100*$I$5-$Y$7)</f>
        <v>-259.42133035575296</v>
      </c>
      <c r="AJ26" s="146"/>
      <c r="AM26" s="144"/>
      <c r="AN26" s="145"/>
      <c r="AO26" s="145"/>
      <c r="AP26" s="162">
        <v>2</v>
      </c>
      <c r="AQ26" s="145">
        <f t="shared" si="3"/>
        <v>1.7320508075688772</v>
      </c>
      <c r="AR26" s="145">
        <f t="shared" si="2"/>
        <v>4.7739504189675408</v>
      </c>
      <c r="AS26" s="145">
        <f t="shared" si="6"/>
        <v>2.06752580847095</v>
      </c>
      <c r="AT26" s="145">
        <f t="shared" si="7"/>
        <v>0.48050203554924148</v>
      </c>
      <c r="AU26" s="145">
        <f t="shared" si="0"/>
        <v>105.71406119267564</v>
      </c>
      <c r="AV26" s="163">
        <f t="shared" si="1"/>
        <v>1962.7140611926757</v>
      </c>
      <c r="AW26" s="145"/>
      <c r="AX26" s="145"/>
      <c r="AY26" s="146"/>
      <c r="BB26" s="144">
        <f>BB23</f>
        <v>2077</v>
      </c>
      <c r="BC26" s="145">
        <f>-BC23</f>
        <v>-59</v>
      </c>
      <c r="BD26" s="145"/>
      <c r="BE26" s="145">
        <f>I4</f>
        <v>59</v>
      </c>
      <c r="BF26" s="146">
        <f>-I4*TAN(N18)</f>
        <v>-84.285714285714292</v>
      </c>
    </row>
    <row r="27" spans="1:58" ht="19.5" customHeight="1">
      <c r="A27" s="144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 t="s">
        <v>464</v>
      </c>
      <c r="X27" s="145"/>
      <c r="Y27" s="145"/>
      <c r="Z27" s="145"/>
      <c r="AF27" s="145"/>
      <c r="AG27" s="253"/>
      <c r="AH27" s="145" t="s">
        <v>358</v>
      </c>
      <c r="AI27" s="163">
        <f>$I$9-AI26</f>
        <v>1520.4650730390636</v>
      </c>
      <c r="AJ27" s="146"/>
      <c r="AM27" s="144"/>
      <c r="AN27" s="145"/>
      <c r="AO27" s="145"/>
      <c r="AP27" s="162">
        <v>2.1</v>
      </c>
      <c r="AQ27" s="145">
        <f t="shared" si="3"/>
        <v>1.8466185312619388</v>
      </c>
      <c r="AR27" s="145">
        <f t="shared" si="2"/>
        <v>5.0897267403863911</v>
      </c>
      <c r="AS27" s="145">
        <f t="shared" si="6"/>
        <v>1.9533279531334589</v>
      </c>
      <c r="AT27" s="145">
        <f t="shared" si="7"/>
        <v>0.48184350876489918</v>
      </c>
      <c r="AU27" s="145">
        <f t="shared" si="0"/>
        <v>106.00919538798925</v>
      </c>
      <c r="AV27" s="163">
        <f t="shared" si="1"/>
        <v>1963.0091953879892</v>
      </c>
      <c r="AW27" s="145"/>
      <c r="AX27" s="145"/>
      <c r="AY27" s="146"/>
      <c r="BB27" s="144">
        <f>BB23</f>
        <v>2077</v>
      </c>
      <c r="BC27" s="145">
        <f>BC23</f>
        <v>59</v>
      </c>
      <c r="BD27" s="145"/>
      <c r="BE27" s="145">
        <f>BE26+N12</f>
        <v>164</v>
      </c>
      <c r="BF27" s="146">
        <f>BF26-N11</f>
        <v>-234.28571428571428</v>
      </c>
    </row>
    <row r="28" spans="1:58" ht="19.5" customHeight="1">
      <c r="A28" s="144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68" t="s">
        <v>293</v>
      </c>
      <c r="R28" s="168"/>
      <c r="S28" s="168"/>
      <c r="T28" s="145"/>
      <c r="U28" s="145"/>
      <c r="V28" s="145"/>
      <c r="W28" s="143" t="s">
        <v>450</v>
      </c>
      <c r="X28" s="143" t="s">
        <v>449</v>
      </c>
      <c r="Y28" s="143">
        <f>N10</f>
        <v>120</v>
      </c>
      <c r="AF28" s="145"/>
      <c r="AG28" s="162"/>
      <c r="AH28" s="145"/>
      <c r="AI28" s="163"/>
      <c r="AJ28" s="146"/>
      <c r="AM28" s="144"/>
      <c r="AN28" s="145"/>
      <c r="AO28" s="145"/>
      <c r="AP28" s="162">
        <v>2.2000000000000002</v>
      </c>
      <c r="AQ28" s="145">
        <f t="shared" si="3"/>
        <v>1.9595917942265426</v>
      </c>
      <c r="AR28" s="145">
        <f t="shared" si="2"/>
        <v>5.4011083428804936</v>
      </c>
      <c r="AS28" s="145">
        <f t="shared" si="6"/>
        <v>1.8522763989696638</v>
      </c>
      <c r="AT28" s="145">
        <f t="shared" si="7"/>
        <v>0.48299704321893105</v>
      </c>
      <c r="AU28" s="145">
        <f t="shared" si="0"/>
        <v>106.26298164244703</v>
      </c>
      <c r="AV28" s="163">
        <f t="shared" si="1"/>
        <v>1963.2629816424471</v>
      </c>
      <c r="AW28" s="145"/>
      <c r="AX28" s="145"/>
      <c r="AY28" s="146"/>
      <c r="BB28" s="144"/>
      <c r="BC28" s="145"/>
      <c r="BD28" s="145"/>
      <c r="BE28" s="145">
        <f>BE27</f>
        <v>164</v>
      </c>
      <c r="BF28" s="146">
        <f>BF27-N10</f>
        <v>-354.28571428571428</v>
      </c>
    </row>
    <row r="29" spans="1:58" ht="19.5" customHeight="1">
      <c r="A29" s="144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72" t="s">
        <v>317</v>
      </c>
      <c r="R29" s="172" t="s">
        <v>484</v>
      </c>
      <c r="S29" s="172">
        <f>(S11-I10)/I3</f>
        <v>2.5427682690998323</v>
      </c>
      <c r="T29" s="145">
        <v>1.2</v>
      </c>
      <c r="U29" s="145" t="s">
        <v>283</v>
      </c>
      <c r="V29" s="145"/>
      <c r="W29" s="143" t="s">
        <v>451</v>
      </c>
      <c r="X29" s="143" t="s">
        <v>448</v>
      </c>
      <c r="Y29" s="143">
        <f>N20</f>
        <v>220.00751999278918</v>
      </c>
      <c r="AF29" s="145"/>
      <c r="AG29" s="253" t="s">
        <v>359</v>
      </c>
      <c r="AH29" s="145" t="s">
        <v>255</v>
      </c>
      <c r="AI29" s="163">
        <v>1.2</v>
      </c>
      <c r="AJ29" s="146"/>
      <c r="AM29" s="144"/>
      <c r="AN29" s="145"/>
      <c r="AO29" s="145"/>
      <c r="AP29" s="162">
        <v>2.2999999999999998</v>
      </c>
      <c r="AQ29" s="145">
        <f t="shared" si="3"/>
        <v>2.0712315177207978</v>
      </c>
      <c r="AR29" s="145">
        <f t="shared" si="2"/>
        <v>5.7088143884652016</v>
      </c>
      <c r="AS29" s="145">
        <f t="shared" si="6"/>
        <v>1.76207465408404</v>
      </c>
      <c r="AT29" s="145">
        <f t="shared" si="7"/>
        <v>0.48400147766488411</v>
      </c>
      <c r="AU29" s="145">
        <f t="shared" si="0"/>
        <v>106.4839647738965</v>
      </c>
      <c r="AV29" s="163">
        <f t="shared" si="1"/>
        <v>1963.4839647738966</v>
      </c>
      <c r="AW29" s="145"/>
      <c r="AX29" s="145"/>
      <c r="AY29" s="146"/>
      <c r="BB29" s="247" t="s">
        <v>499</v>
      </c>
      <c r="BC29" s="248"/>
      <c r="BD29" s="145"/>
      <c r="BE29" s="145">
        <f>BE28-(N12-N15*TAN(RADIANS(90)-N14))</f>
        <v>59</v>
      </c>
      <c r="BF29" s="146">
        <f>-(N9+N15+I4*TAN(N18))</f>
        <v>-304.28571428571428</v>
      </c>
    </row>
    <row r="30" spans="1:58" ht="19.5" customHeight="1">
      <c r="A30" s="144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72" t="s">
        <v>318</v>
      </c>
      <c r="R30" s="172" t="s">
        <v>485</v>
      </c>
      <c r="S30" s="172">
        <f>(S11-I10)/I5*100</f>
        <v>14.007780380662007</v>
      </c>
      <c r="T30" s="145">
        <v>11</v>
      </c>
      <c r="U30" s="145" t="s">
        <v>283</v>
      </c>
      <c r="V30" s="145"/>
      <c r="W30" s="145" t="s">
        <v>397</v>
      </c>
      <c r="X30" s="145" t="s">
        <v>379</v>
      </c>
      <c r="Y30" s="167">
        <f>(N12+I4)*Y29*(1+Y33)</f>
        <v>55761.233278817424</v>
      </c>
      <c r="Z30" s="145" t="s">
        <v>377</v>
      </c>
      <c r="AA30" s="145"/>
      <c r="AB30" s="145"/>
      <c r="AF30" s="145"/>
      <c r="AG30" s="253"/>
      <c r="AH30" s="145" t="s">
        <v>266</v>
      </c>
      <c r="AI30" s="163">
        <f>-(AI29*$I$3-$Y$7)</f>
        <v>-143.98133035575296</v>
      </c>
      <c r="AJ30" s="146"/>
      <c r="AM30" s="144"/>
      <c r="AN30" s="145"/>
      <c r="AO30" s="145"/>
      <c r="AP30" s="162">
        <v>2.4</v>
      </c>
      <c r="AQ30" s="145">
        <f t="shared" si="3"/>
        <v>2.1817424229271429</v>
      </c>
      <c r="AR30" s="145">
        <f t="shared" si="2"/>
        <v>6.0134091381716619</v>
      </c>
      <c r="AS30" s="145">
        <f t="shared" si="6"/>
        <v>1.6809545980768721</v>
      </c>
      <c r="AT30" s="145">
        <f t="shared" si="7"/>
        <v>0.48488533478199874</v>
      </c>
      <c r="AU30" s="145">
        <f t="shared" si="0"/>
        <v>106.67841998626086</v>
      </c>
      <c r="AV30" s="163">
        <f t="shared" si="1"/>
        <v>1963.6784199862609</v>
      </c>
      <c r="AW30" s="145"/>
      <c r="AX30" s="145"/>
      <c r="AY30" s="146"/>
      <c r="BB30" s="144" t="s">
        <v>500</v>
      </c>
      <c r="BC30" s="145" t="s">
        <v>501</v>
      </c>
      <c r="BD30" s="145"/>
      <c r="BE30" s="145">
        <f>BE29-N15*TAN(RADIANS(90)-N14)</f>
        <v>59</v>
      </c>
      <c r="BF30" s="146">
        <f>BF29+N15</f>
        <v>-304.28571428571428</v>
      </c>
    </row>
    <row r="31" spans="1:58" ht="19.5" customHeight="1">
      <c r="A31" s="144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67" t="s">
        <v>346</v>
      </c>
      <c r="R31" s="167" t="s">
        <v>526</v>
      </c>
      <c r="S31" s="167">
        <f>2*$S$16*S30/100</f>
        <v>1.224541673564415</v>
      </c>
      <c r="T31" s="145"/>
      <c r="U31" s="145"/>
      <c r="V31" s="145"/>
      <c r="W31" s="145" t="s">
        <v>378</v>
      </c>
      <c r="X31" s="145" t="s">
        <v>381</v>
      </c>
      <c r="Y31" s="145">
        <f>4*(N12+I4)/(Y29*(1+Y33))</f>
        <v>1.9293690916421857</v>
      </c>
      <c r="Z31" s="145"/>
      <c r="AA31" s="145"/>
      <c r="AB31" s="145"/>
      <c r="AF31" s="145"/>
      <c r="AG31" s="253"/>
      <c r="AH31" s="145" t="s">
        <v>358</v>
      </c>
      <c r="AI31" s="163">
        <f>$I$10-AI30</f>
        <v>1397.9780249478665</v>
      </c>
      <c r="AJ31" s="146"/>
      <c r="AM31" s="144"/>
      <c r="AN31" s="145"/>
      <c r="AO31" s="145"/>
      <c r="AP31" s="162">
        <v>2.5</v>
      </c>
      <c r="AQ31" s="145">
        <f t="shared" si="3"/>
        <v>2.2912878474779199</v>
      </c>
      <c r="AR31" s="145">
        <f t="shared" si="2"/>
        <v>6.3153427899703622</v>
      </c>
      <c r="AS31" s="145">
        <f t="shared" si="6"/>
        <v>1.6075286828664801</v>
      </c>
      <c r="AT31" s="145">
        <f t="shared" si="7"/>
        <v>0.48567009093994301</v>
      </c>
      <c r="AU31" s="145">
        <f t="shared" si="0"/>
        <v>106.85107224236926</v>
      </c>
      <c r="AV31" s="163">
        <f t="shared" si="1"/>
        <v>1963.8510722423694</v>
      </c>
      <c r="AW31" s="145"/>
      <c r="AX31" s="145"/>
      <c r="AY31" s="146"/>
      <c r="BB31" s="144">
        <f t="shared" ref="BB31:BB36" si="8">BE15+$N$6</f>
        <v>1857</v>
      </c>
      <c r="BC31" s="145">
        <f t="shared" ref="BC31:BC36" si="9">BF15+$I$4</f>
        <v>59</v>
      </c>
      <c r="BD31" s="145"/>
      <c r="BE31" s="145">
        <v>0</v>
      </c>
      <c r="BF31" s="146">
        <f>BF30</f>
        <v>-304.28571428571428</v>
      </c>
    </row>
    <row r="32" spans="1:58" ht="19.5" customHeight="1">
      <c r="A32" s="144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67" t="s">
        <v>347</v>
      </c>
      <c r="R32" s="167" t="s">
        <v>527</v>
      </c>
      <c r="S32" s="167">
        <f>-4*(($D$13*(($D$14-$I10)/$I$5)^2)+($S$8*(($S$9-$I10)/$I$5)^2)+($I$15*(($I$16-$I10)/$I$5)^2))</f>
        <v>-2.3892930698340091</v>
      </c>
      <c r="T32" s="145"/>
      <c r="U32" s="145"/>
      <c r="V32" s="145"/>
      <c r="W32" s="145" t="s">
        <v>392</v>
      </c>
      <c r="X32" s="145" t="s">
        <v>393</v>
      </c>
      <c r="Y32" s="145">
        <f>0.8*Y31</f>
        <v>1.5434952733137486</v>
      </c>
      <c r="Z32" s="145"/>
      <c r="AA32" s="145"/>
      <c r="AB32" s="145"/>
      <c r="AF32" s="145"/>
      <c r="AG32" s="253"/>
      <c r="AH32" s="145" t="s">
        <v>258</v>
      </c>
      <c r="AI32" s="163">
        <v>11</v>
      </c>
      <c r="AJ32" s="146"/>
      <c r="AM32" s="144"/>
      <c r="AN32" s="145"/>
      <c r="AO32" s="145"/>
      <c r="AP32" s="162">
        <v>2.6</v>
      </c>
      <c r="AQ32" s="145">
        <f t="shared" si="3"/>
        <v>2.4000000000000004</v>
      </c>
      <c r="AR32" s="145">
        <f t="shared" si="2"/>
        <v>6.6149797427732091</v>
      </c>
      <c r="AS32" s="145">
        <f t="shared" si="6"/>
        <v>1.5406899644335659</v>
      </c>
      <c r="AT32" s="145">
        <f t="shared" si="7"/>
        <v>0.486372263386184</v>
      </c>
      <c r="AU32" s="145">
        <f t="shared" si="0"/>
        <v>107.00555546087401</v>
      </c>
      <c r="AV32" s="163">
        <f t="shared" si="1"/>
        <v>1964.0055554608739</v>
      </c>
      <c r="AW32" s="145"/>
      <c r="AX32" s="145"/>
      <c r="AY32" s="146"/>
      <c r="BB32" s="144">
        <f t="shared" si="8"/>
        <v>2077</v>
      </c>
      <c r="BC32" s="145">
        <f t="shared" si="9"/>
        <v>59</v>
      </c>
      <c r="BD32" s="145"/>
      <c r="BE32" s="145">
        <f>-BE30</f>
        <v>-59</v>
      </c>
      <c r="BF32" s="146">
        <f>BF30</f>
        <v>-304.28571428571428</v>
      </c>
    </row>
    <row r="33" spans="1:58" ht="19.5" customHeight="1">
      <c r="A33" s="144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 t="s">
        <v>380</v>
      </c>
      <c r="X33" s="145" t="s">
        <v>387</v>
      </c>
      <c r="Y33" s="145">
        <f>Y28/Y29</f>
        <v>0.54543590148160859</v>
      </c>
      <c r="Z33" s="145"/>
      <c r="AA33" s="145"/>
      <c r="AB33" s="145"/>
      <c r="AF33" s="145"/>
      <c r="AG33" s="253"/>
      <c r="AH33" s="145" t="s">
        <v>266</v>
      </c>
      <c r="AI33" s="163">
        <f>-(AI32/100*$I$5-$Y$7)</f>
        <v>-238.00133035575297</v>
      </c>
      <c r="AJ33" s="146"/>
      <c r="AM33" s="144"/>
      <c r="AN33" s="145"/>
      <c r="AO33" s="145"/>
      <c r="AP33" s="162">
        <v>2.7</v>
      </c>
      <c r="AQ33" s="145">
        <f t="shared" si="3"/>
        <v>2.5079872407968908</v>
      </c>
      <c r="AR33" s="145">
        <f t="shared" si="2"/>
        <v>6.9126186637521272</v>
      </c>
      <c r="AS33" s="145">
        <f t="shared" si="6"/>
        <v>1.4795426324840861</v>
      </c>
      <c r="AT33" s="145">
        <f t="shared" si="7"/>
        <v>0.48700478888532978</v>
      </c>
      <c r="AU33" s="145">
        <f t="shared" si="0"/>
        <v>107.14471582727327</v>
      </c>
      <c r="AV33" s="163">
        <f t="shared" si="1"/>
        <v>1964.1447158272733</v>
      </c>
      <c r="AW33" s="145"/>
      <c r="AX33" s="145"/>
      <c r="AY33" s="146"/>
      <c r="BB33" s="144">
        <f t="shared" si="8"/>
        <v>2077</v>
      </c>
      <c r="BC33" s="145">
        <f t="shared" si="9"/>
        <v>59</v>
      </c>
      <c r="BD33" s="145"/>
      <c r="BE33" s="145">
        <f>-BE29</f>
        <v>-59</v>
      </c>
      <c r="BF33" s="146">
        <f>BF29</f>
        <v>-304.28571428571428</v>
      </c>
    </row>
    <row r="34" spans="1:58" ht="19.5" customHeight="1">
      <c r="A34" s="144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 t="s">
        <v>382</v>
      </c>
      <c r="X34" s="145" t="s">
        <v>385</v>
      </c>
      <c r="Y34" s="145">
        <f>N12*(1+2*Y33)/(3*(1+Y33))</f>
        <v>47.352667964782285</v>
      </c>
      <c r="Z34" s="145" t="s">
        <v>386</v>
      </c>
      <c r="AA34" s="145"/>
      <c r="AB34" s="145"/>
      <c r="AF34" s="145"/>
      <c r="AG34" s="254"/>
      <c r="AH34" s="154" t="s">
        <v>358</v>
      </c>
      <c r="AI34" s="155">
        <f>$I$10-AI33</f>
        <v>1491.9980249478665</v>
      </c>
      <c r="AJ34" s="146"/>
      <c r="AM34" s="144"/>
      <c r="AN34" s="145"/>
      <c r="AO34" s="145"/>
      <c r="AP34" s="162">
        <v>2.8</v>
      </c>
      <c r="AQ34" s="145">
        <f t="shared" si="3"/>
        <v>2.6153393661244038</v>
      </c>
      <c r="AR34" s="145">
        <f t="shared" si="2"/>
        <v>7.2085070530792725</v>
      </c>
      <c r="AS34" s="145">
        <f t="shared" si="6"/>
        <v>1.4233525818179764</v>
      </c>
      <c r="AT34" s="145">
        <f t="shared" si="7"/>
        <v>0.48757796143404475</v>
      </c>
      <c r="AU34" s="145">
        <f t="shared" si="0"/>
        <v>107.27081809824399</v>
      </c>
      <c r="AV34" s="163">
        <f t="shared" si="1"/>
        <v>1964.270818098244</v>
      </c>
      <c r="AW34" s="145"/>
      <c r="AX34" s="145"/>
      <c r="AY34" s="146"/>
      <c r="BB34" s="144">
        <f t="shared" si="8"/>
        <v>2127</v>
      </c>
      <c r="BC34" s="145">
        <f t="shared" si="9"/>
        <v>164</v>
      </c>
      <c r="BD34" s="145"/>
      <c r="BE34" s="145">
        <f>-BE28</f>
        <v>-164</v>
      </c>
      <c r="BF34" s="146">
        <f>BF28</f>
        <v>-354.28571428571428</v>
      </c>
    </row>
    <row r="35" spans="1:58" ht="19.5" customHeight="1">
      <c r="A35" s="144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 t="s">
        <v>383</v>
      </c>
      <c r="X35" s="145" t="s">
        <v>384</v>
      </c>
      <c r="Y35" s="145">
        <f>2/3*Y29*(1+(Y33^2/(1+Y33)))</f>
        <v>174.90634962898088</v>
      </c>
      <c r="Z35" s="145" t="s">
        <v>386</v>
      </c>
      <c r="AA35" s="145"/>
      <c r="AF35" s="145"/>
      <c r="AG35" s="145"/>
      <c r="AH35" s="145"/>
      <c r="AI35" s="145"/>
      <c r="AJ35" s="146"/>
      <c r="AM35" s="144"/>
      <c r="AN35" s="145"/>
      <c r="AO35" s="145"/>
      <c r="AP35" s="162">
        <v>2.9</v>
      </c>
      <c r="AQ35" s="145">
        <f t="shared" si="3"/>
        <v>2.7221315177632399</v>
      </c>
      <c r="AR35" s="145">
        <f t="shared" si="2"/>
        <v>7.5028520196534663</v>
      </c>
      <c r="AS35" s="145">
        <f t="shared" si="6"/>
        <v>1.3715115069082724</v>
      </c>
      <c r="AT35" s="145">
        <f t="shared" si="7"/>
        <v>0.48810008649340886</v>
      </c>
      <c r="AU35" s="145">
        <f t="shared" si="0"/>
        <v>107.38568953768078</v>
      </c>
      <c r="AV35" s="163">
        <f t="shared" si="1"/>
        <v>1964.3856895376807</v>
      </c>
      <c r="AW35" s="145"/>
      <c r="AX35" s="145"/>
      <c r="AY35" s="146"/>
      <c r="BB35" s="144">
        <f t="shared" si="8"/>
        <v>2007</v>
      </c>
      <c r="BC35" s="145">
        <f t="shared" si="9"/>
        <v>164</v>
      </c>
      <c r="BD35" s="145"/>
      <c r="BE35" s="145">
        <f>-BE27</f>
        <v>-164</v>
      </c>
      <c r="BF35" s="146">
        <f>BF27</f>
        <v>-234.28571428571428</v>
      </c>
    </row>
    <row r="36" spans="1:58" ht="19.5" customHeight="1">
      <c r="A36" s="144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67" t="s">
        <v>388</v>
      </c>
      <c r="X36" s="167" t="s">
        <v>389</v>
      </c>
      <c r="Y36" s="167">
        <v>4</v>
      </c>
      <c r="Z36" s="145" t="s">
        <v>386</v>
      </c>
      <c r="AA36" s="145"/>
      <c r="AF36" s="145"/>
      <c r="AG36" s="145"/>
      <c r="AH36" s="145"/>
      <c r="AI36" s="145"/>
      <c r="AJ36" s="146"/>
      <c r="AM36" s="144"/>
      <c r="AN36" s="145"/>
      <c r="AO36" s="145"/>
      <c r="AP36" s="162">
        <v>3</v>
      </c>
      <c r="AQ36" s="145">
        <f t="shared" si="3"/>
        <v>2.8284271247461903</v>
      </c>
      <c r="AR36" s="145">
        <f t="shared" si="2"/>
        <v>7.7958283892109659</v>
      </c>
      <c r="AS36" s="145">
        <f t="shared" si="6"/>
        <v>1.3235103367652625</v>
      </c>
      <c r="AT36" s="145">
        <f t="shared" si="7"/>
        <v>0.48857794771371454</v>
      </c>
      <c r="AU36" s="145">
        <f t="shared" si="0"/>
        <v>107.49082259966096</v>
      </c>
      <c r="AV36" s="163">
        <f t="shared" si="1"/>
        <v>1964.490822599661</v>
      </c>
      <c r="AW36" s="145"/>
      <c r="AX36" s="145"/>
      <c r="AY36" s="146"/>
      <c r="BB36" s="144">
        <f t="shared" si="8"/>
        <v>1857</v>
      </c>
      <c r="BC36" s="145">
        <f t="shared" si="9"/>
        <v>59</v>
      </c>
      <c r="BD36" s="145"/>
      <c r="BE36" s="145">
        <f>-BE26</f>
        <v>-59</v>
      </c>
      <c r="BF36" s="146">
        <f>BF26</f>
        <v>-84.285714285714292</v>
      </c>
    </row>
    <row r="37" spans="1:58" ht="19.5" customHeight="1">
      <c r="A37" s="144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67" t="s">
        <v>394</v>
      </c>
      <c r="X37" s="167" t="s">
        <v>390</v>
      </c>
      <c r="Y37" s="145">
        <f>100*Y36/Y35</f>
        <v>2.286938129167396</v>
      </c>
      <c r="Z37" s="145" t="s">
        <v>391</v>
      </c>
      <c r="AA37" s="145"/>
      <c r="AF37" s="145"/>
      <c r="AG37" s="145"/>
      <c r="AH37" s="145"/>
      <c r="AI37" s="145"/>
      <c r="AJ37" s="146"/>
      <c r="AM37" s="144"/>
      <c r="AN37" s="145"/>
      <c r="AO37" s="145"/>
      <c r="AP37" s="162">
        <v>3.1</v>
      </c>
      <c r="AQ37" s="145">
        <f t="shared" si="3"/>
        <v>2.9342801502242422</v>
      </c>
      <c r="AR37" s="145">
        <f t="shared" si="2"/>
        <v>8.0875848972312028</v>
      </c>
      <c r="AS37" s="145">
        <f t="shared" si="6"/>
        <v>1.2789192562176896</v>
      </c>
      <c r="AT37" s="145">
        <f t="shared" si="7"/>
        <v>0.48901714650155115</v>
      </c>
      <c r="AU37" s="145">
        <f t="shared" ref="AU37:AU56" si="10">AT37*$Y$29</f>
        <v>107.58744963575673</v>
      </c>
      <c r="AV37" s="163">
        <f t="shared" ref="AV37:AV56" si="11">AU37+$N$6</f>
        <v>1964.5874496357567</v>
      </c>
      <c r="AW37" s="145"/>
      <c r="AX37" s="145"/>
      <c r="AY37" s="146"/>
      <c r="BB37" s="144"/>
      <c r="BC37" s="145"/>
      <c r="BD37" s="145"/>
      <c r="BE37" s="145">
        <f>-BE25</f>
        <v>0</v>
      </c>
      <c r="BF37" s="146">
        <f>BF25</f>
        <v>0</v>
      </c>
    </row>
    <row r="38" spans="1:58" ht="19.5" customHeight="1">
      <c r="A38" s="144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 t="s">
        <v>395</v>
      </c>
      <c r="X38" s="145" t="s">
        <v>390</v>
      </c>
      <c r="Y38" s="145">
        <f>100*Y36/Y29</f>
        <v>1.818119671605362</v>
      </c>
      <c r="Z38" s="145" t="s">
        <v>391</v>
      </c>
      <c r="AA38" s="145"/>
      <c r="AF38" s="145"/>
      <c r="AG38" s="145"/>
      <c r="AH38" s="145"/>
      <c r="AI38" s="145"/>
      <c r="AJ38" s="146"/>
      <c r="AM38" s="144"/>
      <c r="AN38" s="145"/>
      <c r="AO38" s="145"/>
      <c r="AP38" s="162">
        <v>3.2</v>
      </c>
      <c r="AQ38" s="145">
        <f t="shared" si="3"/>
        <v>3.039736830714133</v>
      </c>
      <c r="AR38" s="145">
        <f t="shared" si="2"/>
        <v>8.3782489827231768</v>
      </c>
      <c r="AS38" s="145">
        <f t="shared" si="6"/>
        <v>1.2373724586573454</v>
      </c>
      <c r="AT38" s="145">
        <f t="shared" si="7"/>
        <v>0.48942235342953977</v>
      </c>
      <c r="AU38" s="145">
        <f t="shared" si="10"/>
        <v>107.6765982070674</v>
      </c>
      <c r="AV38" s="163">
        <f t="shared" si="11"/>
        <v>1964.6765982070674</v>
      </c>
      <c r="AW38" s="145"/>
      <c r="AX38" s="145"/>
      <c r="AY38" s="146"/>
      <c r="BB38" s="247" t="s">
        <v>502</v>
      </c>
      <c r="BC38" s="248"/>
      <c r="BD38" s="145"/>
      <c r="BE38" s="145"/>
      <c r="BF38" s="146"/>
    </row>
    <row r="39" spans="1:58" ht="19.5" customHeight="1">
      <c r="A39" s="144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 t="s">
        <v>463</v>
      </c>
      <c r="X39" s="145" t="s">
        <v>462</v>
      </c>
      <c r="Y39" s="145">
        <f>100*Y36/Y28</f>
        <v>3.3333333333333335</v>
      </c>
      <c r="Z39" s="145" t="s">
        <v>216</v>
      </c>
      <c r="AA39" s="145"/>
      <c r="AF39" s="145"/>
      <c r="AG39" s="145"/>
      <c r="AH39" s="145"/>
      <c r="AI39" s="145"/>
      <c r="AJ39" s="146"/>
      <c r="AM39" s="144"/>
      <c r="AN39" s="145"/>
      <c r="AO39" s="145"/>
      <c r="AP39" s="162">
        <v>3.3</v>
      </c>
      <c r="AQ39" s="145">
        <f t="shared" si="3"/>
        <v>3.1448370387032774</v>
      </c>
      <c r="AR39" s="145">
        <f t="shared" si="2"/>
        <v>8.6679305438937764</v>
      </c>
      <c r="AS39" s="145">
        <f t="shared" si="6"/>
        <v>1.1985563548989333</v>
      </c>
      <c r="AT39" s="145">
        <f t="shared" si="7"/>
        <v>0.4897974973115275</v>
      </c>
      <c r="AU39" s="145">
        <f t="shared" si="10"/>
        <v>107.75913268218399</v>
      </c>
      <c r="AV39" s="163">
        <f t="shared" si="11"/>
        <v>1964.7591326821839</v>
      </c>
      <c r="AW39" s="145"/>
      <c r="AX39" s="145"/>
      <c r="AY39" s="146"/>
      <c r="BB39" s="144" t="s">
        <v>490</v>
      </c>
      <c r="BC39" s="145" t="s">
        <v>491</v>
      </c>
      <c r="BD39" s="145"/>
      <c r="BE39" s="145">
        <f>BE26</f>
        <v>59</v>
      </c>
      <c r="BF39" s="146">
        <f>BF26</f>
        <v>-84.285714285714292</v>
      </c>
    </row>
    <row r="40" spans="1:58" ht="19.5" customHeight="1">
      <c r="A40" s="144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AA40" s="145"/>
      <c r="AF40" s="145"/>
      <c r="AG40" s="145"/>
      <c r="AH40" s="145"/>
      <c r="AI40" s="145"/>
      <c r="AJ40" s="146"/>
      <c r="AM40" s="144"/>
      <c r="AN40" s="145"/>
      <c r="AO40" s="145"/>
      <c r="AP40" s="162">
        <v>3.4</v>
      </c>
      <c r="AQ40" s="145">
        <f t="shared" si="3"/>
        <v>3.2496153618543842</v>
      </c>
      <c r="AR40" s="145">
        <f t="shared" si="2"/>
        <v>8.9567249126964086</v>
      </c>
      <c r="AS40" s="145">
        <f t="shared" si="6"/>
        <v>1.1622003449389089</v>
      </c>
      <c r="AT40" s="145">
        <f t="shared" si="7"/>
        <v>0.49014590941604103</v>
      </c>
      <c r="AU40" s="145">
        <f t="shared" si="10"/>
        <v>107.83578596523348</v>
      </c>
      <c r="AV40" s="163">
        <f t="shared" si="11"/>
        <v>1964.8357859652335</v>
      </c>
      <c r="AW40" s="145"/>
      <c r="AX40" s="145"/>
      <c r="AY40" s="146"/>
      <c r="BB40" s="144">
        <f t="shared" ref="BB40:BB45" si="12">BB31</f>
        <v>1857</v>
      </c>
      <c r="BC40" s="145">
        <f>-BC31</f>
        <v>-59</v>
      </c>
      <c r="BD40" s="145"/>
      <c r="BE40" s="145">
        <f>BE30</f>
        <v>59</v>
      </c>
      <c r="BF40" s="146">
        <f>BF30</f>
        <v>-304.28571428571428</v>
      </c>
    </row>
    <row r="41" spans="1:58" ht="19.5" customHeight="1">
      <c r="A41" s="144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AA41" s="145"/>
      <c r="AF41" s="145"/>
      <c r="AG41" s="145"/>
      <c r="AH41" s="145"/>
      <c r="AI41" s="145"/>
      <c r="AJ41" s="146"/>
      <c r="AM41" s="144"/>
      <c r="AN41" s="145"/>
      <c r="AO41" s="145"/>
      <c r="AP41" s="162">
        <v>3.5</v>
      </c>
      <c r="AQ41" s="145">
        <f t="shared" si="3"/>
        <v>3.3541019662496847</v>
      </c>
      <c r="AR41" s="145">
        <f t="shared" si="2"/>
        <v>9.2447152341406049</v>
      </c>
      <c r="AS41" s="145">
        <f t="shared" si="6"/>
        <v>1.1280695164565404</v>
      </c>
      <c r="AT41" s="145">
        <f t="shared" si="7"/>
        <v>0.49047043487385528</v>
      </c>
      <c r="AU41" s="145">
        <f t="shared" si="10"/>
        <v>107.90718400638173</v>
      </c>
      <c r="AV41" s="163">
        <f t="shared" si="11"/>
        <v>1964.9071840063816</v>
      </c>
      <c r="AW41" s="145"/>
      <c r="AX41" s="145"/>
      <c r="AY41" s="146"/>
      <c r="BB41" s="144">
        <f t="shared" si="12"/>
        <v>2077</v>
      </c>
      <c r="BC41" s="145">
        <f>-BC32</f>
        <v>-59</v>
      </c>
      <c r="BD41" s="145"/>
      <c r="BE41" s="145">
        <f>BE36</f>
        <v>-59</v>
      </c>
      <c r="BF41" s="146">
        <f>BF36</f>
        <v>-84.285714285714292</v>
      </c>
    </row>
    <row r="42" spans="1:58" ht="19.5" customHeight="1">
      <c r="A42" s="144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AA42" s="145"/>
      <c r="AF42" s="145"/>
      <c r="AG42" s="145"/>
      <c r="AH42" s="145"/>
      <c r="AI42" s="145"/>
      <c r="AJ42" s="146"/>
      <c r="AM42" s="144"/>
      <c r="AN42" s="145"/>
      <c r="AO42" s="145"/>
      <c r="AP42" s="162">
        <v>3.6</v>
      </c>
      <c r="AQ42" s="145">
        <f t="shared" si="3"/>
        <v>3.4583232931581165</v>
      </c>
      <c r="AR42" s="145">
        <f t="shared" si="2"/>
        <v>9.5319743867506972</v>
      </c>
      <c r="AS42" s="145">
        <f t="shared" si="6"/>
        <v>1.0959588100141977</v>
      </c>
      <c r="AT42" s="145">
        <f t="shared" si="7"/>
        <v>0.49077351974607264</v>
      </c>
      <c r="AU42" s="145">
        <f t="shared" si="10"/>
        <v>107.97386495746559</v>
      </c>
      <c r="AV42" s="163">
        <f t="shared" si="11"/>
        <v>1964.9738649574656</v>
      </c>
      <c r="AW42" s="145"/>
      <c r="AX42" s="145"/>
      <c r="AY42" s="146"/>
      <c r="BB42" s="144">
        <f t="shared" si="12"/>
        <v>2077</v>
      </c>
      <c r="BC42" s="145">
        <f>-BC33</f>
        <v>-59</v>
      </c>
      <c r="BD42" s="145"/>
      <c r="BE42" s="145">
        <f>BE32</f>
        <v>-59</v>
      </c>
      <c r="BF42" s="146">
        <f>BF32</f>
        <v>-304.28571428571428</v>
      </c>
    </row>
    <row r="43" spans="1:58" ht="19.5" customHeight="1">
      <c r="A43" s="144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AA43" s="145"/>
      <c r="AF43" s="145"/>
      <c r="AG43" s="145"/>
      <c r="AH43" s="145"/>
      <c r="AI43" s="145"/>
      <c r="AJ43" s="146"/>
      <c r="AM43" s="144"/>
      <c r="AN43" s="145"/>
      <c r="AO43" s="145"/>
      <c r="AP43" s="162">
        <v>3.7</v>
      </c>
      <c r="AQ43" s="145">
        <f t="shared" si="3"/>
        <v>3.5623026261113755</v>
      </c>
      <c r="AR43" s="145">
        <f t="shared" si="2"/>
        <v>9.818566545564396</v>
      </c>
      <c r="AS43" s="145">
        <f t="shared" si="6"/>
        <v>1.0656883135999087</v>
      </c>
      <c r="AT43" s="145">
        <f t="shared" si="7"/>
        <v>0.49105727979449809</v>
      </c>
      <c r="AU43" s="145">
        <f t="shared" si="10"/>
        <v>108.03629430199271</v>
      </c>
      <c r="AV43" s="163">
        <f t="shared" si="11"/>
        <v>1965.0362943019927</v>
      </c>
      <c r="AW43" s="145"/>
      <c r="AX43" s="145"/>
      <c r="AY43" s="146"/>
      <c r="BB43" s="144">
        <f t="shared" si="12"/>
        <v>2127</v>
      </c>
      <c r="BC43" s="145">
        <f>-BC34</f>
        <v>-164</v>
      </c>
      <c r="BD43" s="145"/>
      <c r="BE43" s="145"/>
      <c r="BF43" s="146"/>
    </row>
    <row r="44" spans="1:58" ht="19.5" customHeight="1">
      <c r="A44" s="144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AA44" s="145"/>
      <c r="AF44" s="145"/>
      <c r="AG44" s="145"/>
      <c r="AH44" s="145"/>
      <c r="AI44" s="145"/>
      <c r="AJ44" s="146"/>
      <c r="AM44" s="144"/>
      <c r="AN44" s="145"/>
      <c r="AO44" s="145"/>
      <c r="AP44" s="162">
        <v>3.8</v>
      </c>
      <c r="AQ44" s="145">
        <f t="shared" si="3"/>
        <v>3.666060555964672</v>
      </c>
      <c r="AR44" s="145">
        <f t="shared" si="2"/>
        <v>10.104548463952579</v>
      </c>
      <c r="AS44" s="145">
        <f t="shared" si="6"/>
        <v>1.0370994359372046</v>
      </c>
      <c r="AT44" s="145">
        <f t="shared" si="7"/>
        <v>0.49132355532942579</v>
      </c>
      <c r="AU44" s="145">
        <f t="shared" si="10"/>
        <v>108.0948769220669</v>
      </c>
      <c r="AV44" s="163">
        <f t="shared" si="11"/>
        <v>1965.094876922067</v>
      </c>
      <c r="AW44" s="145"/>
      <c r="AX44" s="145"/>
      <c r="AY44" s="146"/>
      <c r="BB44" s="144">
        <f t="shared" si="12"/>
        <v>2007</v>
      </c>
      <c r="BC44" s="145">
        <f t="shared" ref="BC44:BC45" si="13">-BC35</f>
        <v>-164</v>
      </c>
      <c r="BD44" s="145"/>
      <c r="BE44" s="145"/>
      <c r="BF44" s="146"/>
    </row>
    <row r="45" spans="1:58" ht="19.5" customHeight="1">
      <c r="A45" s="144"/>
      <c r="B45" s="145" t="s">
        <v>503</v>
      </c>
      <c r="C45" s="145" t="s">
        <v>403</v>
      </c>
      <c r="D45" s="145" t="e">
        <f>D74</f>
        <v>#REF!</v>
      </c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Z45" s="145"/>
      <c r="AA45" s="145"/>
      <c r="AF45" s="145"/>
      <c r="AG45" s="145"/>
      <c r="AH45" s="145"/>
      <c r="AI45" s="145"/>
      <c r="AJ45" s="146"/>
      <c r="AM45" s="144"/>
      <c r="AN45" s="145"/>
      <c r="AO45" s="145"/>
      <c r="AP45" s="162">
        <v>3.9</v>
      </c>
      <c r="AQ45" s="145">
        <f t="shared" si="3"/>
        <v>3.7696153649941526</v>
      </c>
      <c r="AR45" s="145">
        <f t="shared" si="2"/>
        <v>10.389970532284563</v>
      </c>
      <c r="AS45" s="145">
        <f t="shared" si="6"/>
        <v>1.0100517702402501</v>
      </c>
      <c r="AT45" s="145">
        <f t="shared" si="7"/>
        <v>0.49157395534584236</v>
      </c>
      <c r="AU45" s="145">
        <f t="shared" si="10"/>
        <v>108.14996680868487</v>
      </c>
      <c r="AV45" s="163">
        <f t="shared" si="11"/>
        <v>1965.1499668086849</v>
      </c>
      <c r="AW45" s="145"/>
      <c r="AX45" s="145"/>
      <c r="AY45" s="146"/>
      <c r="BB45" s="144">
        <f t="shared" si="12"/>
        <v>1857</v>
      </c>
      <c r="BC45" s="145">
        <f t="shared" si="13"/>
        <v>-59</v>
      </c>
      <c r="BD45" s="145"/>
      <c r="BE45" s="145"/>
      <c r="BF45" s="146"/>
    </row>
    <row r="46" spans="1:58" ht="19.5" customHeight="1" thickBot="1">
      <c r="A46" s="144"/>
      <c r="B46" s="145" t="s">
        <v>404</v>
      </c>
      <c r="C46" s="145" t="s">
        <v>402</v>
      </c>
      <c r="D46" s="145">
        <f>I19</f>
        <v>400</v>
      </c>
      <c r="E46" s="145" t="s">
        <v>405</v>
      </c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F46" s="145"/>
      <c r="AG46" s="145"/>
      <c r="AH46" s="145"/>
      <c r="AI46" s="145"/>
      <c r="AJ46" s="146"/>
      <c r="AM46" s="144"/>
      <c r="AN46" s="145"/>
      <c r="AO46" s="145"/>
      <c r="AP46" s="162">
        <v>4</v>
      </c>
      <c r="AQ46" s="145">
        <f t="shared" si="3"/>
        <v>3.872983346207417</v>
      </c>
      <c r="AR46" s="145">
        <f t="shared" si="2"/>
        <v>10.674877658025025</v>
      </c>
      <c r="AS46" s="145">
        <f t="shared" si="6"/>
        <v>0.98442050533113379</v>
      </c>
      <c r="AT46" s="145">
        <f t="shared" si="7"/>
        <v>0.49180989333394026</v>
      </c>
      <c r="AU46" s="145">
        <f t="shared" si="10"/>
        <v>108.20187494031838</v>
      </c>
      <c r="AV46" s="163">
        <f t="shared" si="11"/>
        <v>1965.2018749403185</v>
      </c>
      <c r="AW46" s="145"/>
      <c r="AX46" s="145"/>
      <c r="AY46" s="146"/>
      <c r="BB46" s="179"/>
      <c r="BC46" s="180"/>
      <c r="BD46" s="180"/>
      <c r="BE46" s="180"/>
      <c r="BF46" s="181"/>
    </row>
    <row r="47" spans="1:58" ht="19.5" customHeight="1">
      <c r="A47" s="144"/>
      <c r="B47" s="145"/>
      <c r="C47" s="145" t="s">
        <v>406</v>
      </c>
      <c r="D47" s="145">
        <f>D46/340</f>
        <v>1.1764705882352942</v>
      </c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F47" s="145"/>
      <c r="AG47" s="145"/>
      <c r="AH47" s="145"/>
      <c r="AI47" s="145"/>
      <c r="AJ47" s="146"/>
      <c r="AM47" s="144"/>
      <c r="AN47" s="145"/>
      <c r="AO47" s="145"/>
      <c r="AP47" s="162">
        <v>4.0999999999999996</v>
      </c>
      <c r="AQ47" s="145">
        <f t="shared" si="3"/>
        <v>3.9761790704142084</v>
      </c>
      <c r="AR47" s="145">
        <f t="shared" si="2"/>
        <v>10.959310001845331</v>
      </c>
      <c r="AS47" s="145">
        <f t="shared" si="6"/>
        <v>0.96009427430703198</v>
      </c>
      <c r="AT47" s="145">
        <f t="shared" si="7"/>
        <v>0.49203261655705488</v>
      </c>
      <c r="AU47" s="145">
        <f t="shared" si="10"/>
        <v>108.25087572428063</v>
      </c>
      <c r="AV47" s="163">
        <f t="shared" si="11"/>
        <v>1965.2508757242806</v>
      </c>
      <c r="AW47" s="145"/>
      <c r="AX47" s="145"/>
      <c r="AY47" s="146"/>
    </row>
    <row r="48" spans="1:58" ht="19.5" customHeight="1">
      <c r="A48" s="144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6"/>
      <c r="AM48" s="144"/>
      <c r="AN48" s="145"/>
      <c r="AO48" s="145"/>
      <c r="AP48" s="162">
        <v>4.2</v>
      </c>
      <c r="AQ48" s="145">
        <f t="shared" si="3"/>
        <v>4.0792156108742281</v>
      </c>
      <c r="AR48" s="145">
        <f t="shared" si="2"/>
        <v>11.243303596807191</v>
      </c>
      <c r="AS48" s="145">
        <f t="shared" si="6"/>
        <v>0.93697335568715456</v>
      </c>
      <c r="AT48" s="145">
        <f t="shared" si="7"/>
        <v>0.49224323015891508</v>
      </c>
      <c r="AU48" s="145">
        <f t="shared" si="10"/>
        <v>108.29721230050264</v>
      </c>
      <c r="AV48" s="163">
        <f t="shared" si="11"/>
        <v>1965.2972123005027</v>
      </c>
      <c r="AW48" s="145"/>
      <c r="AX48" s="145"/>
      <c r="AY48" s="146"/>
    </row>
    <row r="49" spans="1:51" ht="19.5" customHeight="1" thickBot="1">
      <c r="A49" s="179"/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1"/>
      <c r="AM49" s="144"/>
      <c r="AN49" s="145"/>
      <c r="AO49" s="145"/>
      <c r="AP49" s="162">
        <v>4.3</v>
      </c>
      <c r="AQ49" s="145">
        <f t="shared" si="3"/>
        <v>4.1821047332652963</v>
      </c>
      <c r="AR49" s="145">
        <f t="shared" si="2"/>
        <v>11.526890871960786</v>
      </c>
      <c r="AS49" s="145">
        <f t="shared" si="6"/>
        <v>0.91496816056023611</v>
      </c>
      <c r="AT49" s="145">
        <f t="shared" si="7"/>
        <v>0.49244271714475446</v>
      </c>
      <c r="AU49" s="145">
        <f t="shared" si="10"/>
        <v>108.341100937528</v>
      </c>
      <c r="AV49" s="163">
        <f t="shared" si="11"/>
        <v>1965.3411009375279</v>
      </c>
      <c r="AW49" s="145"/>
      <c r="AX49" s="145"/>
      <c r="AY49" s="146"/>
    </row>
    <row r="50" spans="1:51" ht="19.5" customHeight="1">
      <c r="AM50" s="144"/>
      <c r="AN50" s="145"/>
      <c r="AO50" s="145"/>
      <c r="AP50" s="162">
        <v>4.4000000000000004</v>
      </c>
      <c r="AQ50" s="145">
        <f t="shared" si="3"/>
        <v>4.2848570571257101</v>
      </c>
      <c r="AR50" s="145">
        <f t="shared" si="2"/>
        <v>11.810101097318915</v>
      </c>
      <c r="AS50" s="145">
        <f t="shared" si="6"/>
        <v>0.89399795335730825</v>
      </c>
      <c r="AT50" s="145">
        <f t="shared" si="7"/>
        <v>0.49263195504476193</v>
      </c>
      <c r="AU50" s="145">
        <f t="shared" si="10"/>
        <v>108.38273469859728</v>
      </c>
      <c r="AV50" s="163">
        <f t="shared" si="11"/>
        <v>1965.3827346985972</v>
      </c>
      <c r="AW50" s="145"/>
      <c r="AX50" s="145"/>
      <c r="AY50" s="146"/>
    </row>
    <row r="51" spans="1:51" ht="19.5" customHeight="1">
      <c r="AM51" s="144"/>
      <c r="AN51" s="145"/>
      <c r="AO51" s="145"/>
      <c r="AP51" s="162">
        <v>4.5</v>
      </c>
      <c r="AQ51" s="145">
        <f t="shared" si="3"/>
        <v>4.3874821936960613</v>
      </c>
      <c r="AR51" s="145">
        <f t="shared" si="2"/>
        <v>12.092960763782335</v>
      </c>
      <c r="AS51" s="145">
        <f t="shared" si="6"/>
        <v>0.87398976467125111</v>
      </c>
      <c r="AT51" s="145">
        <f t="shared" si="7"/>
        <v>0.49281172989098043</v>
      </c>
      <c r="AU51" s="145">
        <f t="shared" si="10"/>
        <v>108.42228651667089</v>
      </c>
      <c r="AV51" s="163">
        <f t="shared" si="11"/>
        <v>1965.422286516671</v>
      </c>
      <c r="AW51" s="145"/>
      <c r="AX51" s="145"/>
      <c r="AY51" s="146"/>
    </row>
    <row r="52" spans="1:51" ht="19.5" customHeight="1">
      <c r="AM52" s="144"/>
      <c r="AN52" s="145"/>
      <c r="AO52" s="145"/>
      <c r="AP52" s="162">
        <v>4.5999999999999996</v>
      </c>
      <c r="AQ52" s="145">
        <f t="shared" si="3"/>
        <v>4.4899888641287289</v>
      </c>
      <c r="AR52" s="145">
        <f t="shared" si="2"/>
        <v>12.375493908953679</v>
      </c>
      <c r="AS52" s="145">
        <f t="shared" si="6"/>
        <v>0.85487746287957644</v>
      </c>
      <c r="AT52" s="145">
        <f t="shared" si="7"/>
        <v>0.49298274800423225</v>
      </c>
      <c r="AU52" s="145">
        <f t="shared" si="10"/>
        <v>108.45991178764127</v>
      </c>
      <c r="AV52" s="163">
        <f t="shared" si="11"/>
        <v>1965.4599117876412</v>
      </c>
      <c r="AW52" s="145"/>
      <c r="AX52" s="145"/>
      <c r="AY52" s="146"/>
    </row>
    <row r="53" spans="1:51" ht="19.5" customHeight="1">
      <c r="B53" s="240" t="s">
        <v>438</v>
      </c>
      <c r="C53" s="241"/>
      <c r="D53" s="241"/>
      <c r="E53" s="242"/>
      <c r="AM53" s="144"/>
      <c r="AN53" s="145"/>
      <c r="AO53" s="145"/>
      <c r="AP53" s="162">
        <v>4.7</v>
      </c>
      <c r="AQ53" s="145">
        <f t="shared" si="3"/>
        <v>4.5923850012820138</v>
      </c>
      <c r="AR53" s="145">
        <f t="shared" si="2"/>
        <v>12.657722397706682</v>
      </c>
      <c r="AS53" s="145">
        <f t="shared" si="6"/>
        <v>0.836600957812489</v>
      </c>
      <c r="AT53" s="145">
        <f t="shared" si="7"/>
        <v>0.49314564598472388</v>
      </c>
      <c r="AU53" s="145">
        <f t="shared" si="10"/>
        <v>108.49575056834108</v>
      </c>
      <c r="AV53" s="163">
        <f t="shared" si="11"/>
        <v>1965.495750568341</v>
      </c>
      <c r="AW53" s="145"/>
      <c r="AX53" s="145"/>
      <c r="AY53" s="146"/>
    </row>
    <row r="54" spans="1:51" ht="19.5" customHeight="1">
      <c r="B54" s="162" t="s">
        <v>407</v>
      </c>
      <c r="C54" s="145" t="s">
        <v>409</v>
      </c>
      <c r="D54" s="145">
        <f>諸元!F44</f>
        <v>15</v>
      </c>
      <c r="E54" s="163" t="s">
        <v>408</v>
      </c>
      <c r="AM54" s="144"/>
      <c r="AN54" s="145"/>
      <c r="AO54" s="145"/>
      <c r="AP54" s="162">
        <v>4.8</v>
      </c>
      <c r="AQ54" s="145">
        <f t="shared" si="3"/>
        <v>4.6946778377222005</v>
      </c>
      <c r="AR54" s="145">
        <f t="shared" si="2"/>
        <v>12.939666164741118</v>
      </c>
      <c r="AS54" s="145">
        <f t="shared" si="6"/>
        <v>0.81910551479247484</v>
      </c>
      <c r="AT54" s="145">
        <f t="shared" si="7"/>
        <v>0.49330099922057941</v>
      </c>
      <c r="AU54" s="145">
        <f t="shared" si="10"/>
        <v>108.52992944848451</v>
      </c>
      <c r="AV54" s="163">
        <f t="shared" si="11"/>
        <v>1965.5299294484846</v>
      </c>
      <c r="AW54" s="145"/>
      <c r="AX54" s="145"/>
      <c r="AY54" s="146"/>
    </row>
    <row r="55" spans="1:51" ht="19.5" customHeight="1">
      <c r="B55" s="162" t="s">
        <v>410</v>
      </c>
      <c r="C55" s="145" t="s">
        <v>411</v>
      </c>
      <c r="D55" s="145">
        <f>18.2*((273+20+117)/(273.15+D54+117))*((273.15+D54)/(273+20))^(3/2)*10^-6</f>
        <v>1.7962463837350092E-5</v>
      </c>
      <c r="E55" s="163" t="s">
        <v>414</v>
      </c>
      <c r="AM55" s="144"/>
      <c r="AN55" s="145"/>
      <c r="AO55" s="145"/>
      <c r="AP55" s="162">
        <v>4.9000000000000004</v>
      </c>
      <c r="AQ55" s="145">
        <f t="shared" si="3"/>
        <v>4.7968739820845832</v>
      </c>
      <c r="AR55" s="145">
        <f t="shared" si="2"/>
        <v>13.221343425052238</v>
      </c>
      <c r="AS55" s="145">
        <f t="shared" si="6"/>
        <v>0.80234116138529632</v>
      </c>
      <c r="AT55" s="145">
        <f t="shared" si="7"/>
        <v>0.49344932916682177</v>
      </c>
      <c r="AU55" s="145">
        <f t="shared" si="10"/>
        <v>108.56256315209795</v>
      </c>
      <c r="AV55" s="163">
        <f t="shared" si="11"/>
        <v>1965.5625631520979</v>
      </c>
      <c r="AW55" s="145"/>
      <c r="AX55" s="145"/>
      <c r="AY55" s="146"/>
    </row>
    <row r="56" spans="1:51" ht="19.5" customHeight="1">
      <c r="B56" s="162" t="s">
        <v>413</v>
      </c>
      <c r="C56" s="145" t="s">
        <v>412</v>
      </c>
      <c r="D56" s="145">
        <f>D55/1.2</f>
        <v>1.496871986445841E-5</v>
      </c>
      <c r="E56" s="163" t="s">
        <v>415</v>
      </c>
      <c r="AM56" s="144"/>
      <c r="AN56" s="145"/>
      <c r="AO56" s="145"/>
      <c r="AP56" s="153">
        <v>5</v>
      </c>
      <c r="AQ56" s="154">
        <f t="shared" si="3"/>
        <v>4.8989794855663558</v>
      </c>
      <c r="AR56" s="154">
        <f t="shared" si="2"/>
        <v>13.502770857201231</v>
      </c>
      <c r="AS56" s="154">
        <f t="shared" si="6"/>
        <v>0.78626217239178198</v>
      </c>
      <c r="AT56" s="154">
        <f t="shared" si="7"/>
        <v>0.49359110959898356</v>
      </c>
      <c r="AU56" s="154">
        <f t="shared" si="10"/>
        <v>108.59375591336138</v>
      </c>
      <c r="AV56" s="155">
        <f t="shared" si="11"/>
        <v>1965.5937559133613</v>
      </c>
      <c r="AW56" s="145"/>
      <c r="AX56" s="145"/>
      <c r="AY56" s="146"/>
    </row>
    <row r="57" spans="1:51" ht="19.5" customHeight="1">
      <c r="B57" s="162" t="s">
        <v>417</v>
      </c>
      <c r="C57" s="145" t="s">
        <v>416</v>
      </c>
      <c r="D57" s="145">
        <f>(I3*D46)/D56</f>
        <v>3153242256.3449292</v>
      </c>
      <c r="E57" s="163"/>
      <c r="AM57" s="144"/>
      <c r="AN57" s="145"/>
      <c r="AO57" s="145"/>
      <c r="AP57" s="145"/>
      <c r="AQ57" s="145"/>
      <c r="AR57" s="145"/>
      <c r="AS57" s="145"/>
      <c r="AT57" s="145"/>
      <c r="AU57" s="145"/>
      <c r="AV57" s="145"/>
      <c r="AW57" s="145"/>
      <c r="AX57" s="145"/>
      <c r="AY57" s="146"/>
    </row>
    <row r="58" spans="1:51" ht="19.5" customHeight="1">
      <c r="B58" s="162" t="s">
        <v>419</v>
      </c>
      <c r="C58" s="145" t="s">
        <v>418</v>
      </c>
      <c r="D58" s="145">
        <f>0.455/((LOG10(D57))^2.58)-1700/D57</f>
        <v>1.366028317794882E-3</v>
      </c>
      <c r="E58" s="163"/>
      <c r="AM58" s="144"/>
      <c r="AN58" s="145"/>
      <c r="AO58" s="145"/>
      <c r="AP58" s="145"/>
      <c r="AQ58" s="145"/>
      <c r="AR58" s="145"/>
      <c r="AS58" s="145"/>
      <c r="AT58" s="145"/>
      <c r="AU58" s="145"/>
      <c r="AV58" s="145"/>
      <c r="AW58" s="145"/>
      <c r="AX58" s="145"/>
      <c r="AY58" s="146"/>
    </row>
    <row r="59" spans="1:51" ht="19.5" customHeight="1">
      <c r="B59" s="162"/>
      <c r="C59" s="145"/>
      <c r="D59" s="145"/>
      <c r="E59" s="163"/>
      <c r="AM59" s="144"/>
      <c r="AN59" s="145"/>
      <c r="AO59" s="145"/>
      <c r="AP59" s="145"/>
      <c r="AQ59" s="145"/>
      <c r="AR59" s="145"/>
      <c r="AS59" s="145"/>
      <c r="AT59" s="145"/>
      <c r="AU59" s="145"/>
      <c r="AV59" s="145"/>
      <c r="AW59" s="145"/>
      <c r="AX59" s="145"/>
      <c r="AY59" s="146"/>
    </row>
    <row r="60" spans="1:51" ht="19.5" customHeight="1">
      <c r="B60" s="162"/>
      <c r="C60" s="145"/>
      <c r="D60" s="145"/>
      <c r="E60" s="163"/>
      <c r="AM60" s="144"/>
      <c r="AN60" s="145"/>
      <c r="AO60" s="145"/>
      <c r="AP60" s="145"/>
      <c r="AQ60" s="145"/>
      <c r="AR60" s="145"/>
      <c r="AS60" s="145"/>
      <c r="AT60" s="145"/>
      <c r="AU60" s="145"/>
      <c r="AV60" s="145"/>
      <c r="AW60" s="145"/>
      <c r="AX60" s="145"/>
      <c r="AY60" s="146"/>
    </row>
    <row r="61" spans="1:51" ht="19.5" customHeight="1">
      <c r="B61" s="162" t="s">
        <v>420</v>
      </c>
      <c r="C61" s="145" t="s">
        <v>376</v>
      </c>
      <c r="D61" s="145" t="e">
        <f>I3*PI()*I5+諸元!#REF!</f>
        <v>#REF!</v>
      </c>
      <c r="E61" s="163" t="s">
        <v>377</v>
      </c>
      <c r="AM61" s="144"/>
      <c r="AN61" s="145"/>
      <c r="AO61" s="145"/>
      <c r="AP61" s="145"/>
      <c r="AQ61" s="145"/>
      <c r="AR61" s="145"/>
      <c r="AS61" s="145"/>
      <c r="AT61" s="145"/>
      <c r="AU61" s="145"/>
      <c r="AV61" s="145"/>
      <c r="AW61" s="145"/>
      <c r="AX61" s="145"/>
      <c r="AY61" s="146"/>
    </row>
    <row r="62" spans="1:51" ht="19.5" customHeight="1" thickBot="1">
      <c r="B62" s="162"/>
      <c r="C62" s="145"/>
      <c r="D62" s="145"/>
      <c r="E62" s="163"/>
      <c r="AM62" s="179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  <c r="AX62" s="180"/>
      <c r="AY62" s="181"/>
    </row>
    <row r="63" spans="1:51" ht="19.5" customHeight="1">
      <c r="B63" s="162"/>
      <c r="C63" s="145"/>
      <c r="D63" s="145"/>
      <c r="E63" s="163"/>
    </row>
    <row r="64" spans="1:51" ht="19.5" customHeight="1">
      <c r="B64" s="162" t="s">
        <v>423</v>
      </c>
      <c r="C64" s="145"/>
      <c r="D64" s="145">
        <f>10^(-1.4-LOG(D57)/(LOG(10))*0.16)</f>
        <v>1.2028149736936073E-3</v>
      </c>
      <c r="E64" s="163"/>
    </row>
    <row r="65" spans="2:5" ht="19.5" customHeight="1">
      <c r="B65" s="182" t="s">
        <v>422</v>
      </c>
      <c r="C65" s="183" t="s">
        <v>436</v>
      </c>
      <c r="D65" s="183" t="e">
        <f>1.02*D64*D61/(I3^2*PI()/4)*(1+(1.5/(I6^(3/2))))</f>
        <v>#REF!</v>
      </c>
      <c r="E65" s="163"/>
    </row>
    <row r="66" spans="2:5" ht="19.5" customHeight="1">
      <c r="B66" s="182" t="s">
        <v>421</v>
      </c>
      <c r="C66" s="183" t="s">
        <v>436</v>
      </c>
      <c r="D66" s="183" t="e">
        <f>0.029/SQRT(D65)*(S3/I3)^3</f>
        <v>#REF!</v>
      </c>
      <c r="E66" s="163"/>
    </row>
    <row r="67" spans="2:5" ht="19.5" customHeight="1">
      <c r="B67" s="162" t="s">
        <v>427</v>
      </c>
      <c r="C67" s="145"/>
      <c r="D67" s="145">
        <f>2*D58*(1+2*Y37/100)</f>
        <v>2.8570175254092646E-3</v>
      </c>
      <c r="E67" s="163"/>
    </row>
    <row r="68" spans="2:5" ht="19.5" customHeight="1">
      <c r="B68" s="162" t="s">
        <v>431</v>
      </c>
      <c r="C68" s="145" t="s">
        <v>424</v>
      </c>
      <c r="D68" s="145">
        <f>(1.2*PI()*(N12/10^3)^2*D46)^2*D46</f>
        <v>110560.35073122769</v>
      </c>
      <c r="E68" s="163"/>
    </row>
    <row r="69" spans="2:5" ht="19.5" customHeight="1">
      <c r="B69" s="162" t="s">
        <v>432</v>
      </c>
      <c r="C69" s="145" t="s">
        <v>425</v>
      </c>
      <c r="D69" s="145">
        <f>2*D68/(1.2*D46^2*Y30)</f>
        <v>2.0653602016985007E-5</v>
      </c>
      <c r="E69" s="163"/>
    </row>
    <row r="70" spans="2:5" ht="19.5" customHeight="1">
      <c r="B70" s="162" t="s">
        <v>433</v>
      </c>
      <c r="C70" s="145" t="s">
        <v>426</v>
      </c>
      <c r="D70" s="145">
        <f>D69^2/PI()*Y32</f>
        <v>2.0957865046924087E-10</v>
      </c>
      <c r="E70" s="163"/>
    </row>
    <row r="71" spans="2:5" ht="19.5" customHeight="1">
      <c r="B71" s="162" t="s">
        <v>434</v>
      </c>
      <c r="C71" s="145" t="s">
        <v>435</v>
      </c>
      <c r="D71" s="145">
        <f>D67/((I3/10^3)^2*PI()/4)*0.5*(N20/10^3*N12/10^3*2)*N3</f>
        <v>2.4140475729990982E-2</v>
      </c>
      <c r="E71" s="163"/>
    </row>
    <row r="72" spans="2:5" ht="19.5" customHeight="1">
      <c r="B72" s="182" t="s">
        <v>429</v>
      </c>
      <c r="C72" s="183" t="s">
        <v>428</v>
      </c>
      <c r="D72" s="183">
        <f>D70+D71</f>
        <v>2.4140475939569632E-2</v>
      </c>
      <c r="E72" s="163"/>
    </row>
    <row r="73" spans="2:5" ht="19.5" customHeight="1">
      <c r="B73" s="182" t="s">
        <v>430</v>
      </c>
      <c r="C73" s="183"/>
      <c r="D73" s="183">
        <f>D71*(N20/10^3)/((I3/10^3)^2*PI()/4)*(I3/10^3)*0.5*N3</f>
        <v>0.11461499951296042</v>
      </c>
      <c r="E73" s="163"/>
    </row>
    <row r="74" spans="2:5" ht="19.5" customHeight="1">
      <c r="B74" s="184" t="s">
        <v>437</v>
      </c>
      <c r="C74" s="185" t="s">
        <v>403</v>
      </c>
      <c r="D74" s="185" t="e">
        <f>D65+D66+D72+D73</f>
        <v>#REF!</v>
      </c>
      <c r="E74" s="155"/>
    </row>
  </sheetData>
  <mergeCells count="22">
    <mergeCell ref="BB38:BC38"/>
    <mergeCell ref="BB5:BC5"/>
    <mergeCell ref="W17:Y17"/>
    <mergeCell ref="BB3:BF3"/>
    <mergeCell ref="BE23:BF23"/>
    <mergeCell ref="BE5:BF5"/>
    <mergeCell ref="BE9:BF9"/>
    <mergeCell ref="BB13:BC13"/>
    <mergeCell ref="BB21:BC21"/>
    <mergeCell ref="AG29:AG34"/>
    <mergeCell ref="BE13:BF13"/>
    <mergeCell ref="AG14:AI14"/>
    <mergeCell ref="AG15:AG20"/>
    <mergeCell ref="BB29:BC29"/>
    <mergeCell ref="AG22:AG27"/>
    <mergeCell ref="AB2:AI11"/>
    <mergeCell ref="B1:J1"/>
    <mergeCell ref="L1:P1"/>
    <mergeCell ref="B53:E53"/>
    <mergeCell ref="AM3:AY3"/>
    <mergeCell ref="L19:O19"/>
    <mergeCell ref="W3:Z3"/>
  </mergeCells>
  <phoneticPr fontId="13"/>
  <pageMargins left="0.7" right="0.7" top="0.75" bottom="0.75" header="0.3" footer="0.3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0" zoomScaleNormal="80" workbookViewId="0">
      <selection activeCell="K18" sqref="K18"/>
    </sheetView>
  </sheetViews>
  <sheetFormatPr defaultColWidth="13" defaultRowHeight="14.25"/>
  <cols>
    <col min="1" max="1" width="5" style="82" customWidth="1"/>
    <col min="2" max="2" width="15" style="82" customWidth="1"/>
    <col min="3" max="7" width="13" style="82"/>
    <col min="8" max="8" width="14.625" style="82" customWidth="1"/>
    <col min="9" max="9" width="8.5" style="82" customWidth="1"/>
    <col min="10" max="11" width="13" style="82"/>
    <col min="12" max="12" width="24.125" style="82" bestFit="1" customWidth="1"/>
    <col min="13" max="16384" width="13" style="82"/>
  </cols>
  <sheetData>
    <row r="1" spans="1:11" ht="6.6" customHeight="1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>
      <c r="A2" s="81"/>
      <c r="B2" s="81" t="s">
        <v>198</v>
      </c>
      <c r="C2" s="81"/>
      <c r="D2" s="81"/>
      <c r="E2" s="81"/>
      <c r="F2" s="81"/>
      <c r="G2" s="81"/>
      <c r="H2" s="81"/>
      <c r="I2" s="81"/>
      <c r="J2" s="81"/>
      <c r="K2" s="81"/>
    </row>
    <row r="3" spans="1:11">
      <c r="A3" s="81"/>
      <c r="B3" s="83" t="s">
        <v>199</v>
      </c>
      <c r="C3" s="188">
        <f>諸元!M17</f>
        <v>11.17</v>
      </c>
      <c r="D3" s="81" t="s">
        <v>200</v>
      </c>
      <c r="E3" s="81"/>
      <c r="F3" s="81"/>
      <c r="G3" s="81"/>
      <c r="H3" s="81"/>
      <c r="I3" s="81"/>
      <c r="J3" s="81"/>
      <c r="K3" s="81"/>
    </row>
    <row r="4" spans="1:11">
      <c r="A4" s="81"/>
      <c r="B4" s="83" t="s">
        <v>201</v>
      </c>
      <c r="C4" s="188">
        <f>諸元!F4-諸元!M13</f>
        <v>0.86769931304188219</v>
      </c>
      <c r="D4" s="81" t="s">
        <v>202</v>
      </c>
      <c r="E4" s="81"/>
      <c r="F4" s="81"/>
      <c r="G4" s="81"/>
      <c r="H4" s="81"/>
      <c r="I4" s="81"/>
      <c r="J4" s="81"/>
      <c r="K4" s="81"/>
    </row>
    <row r="5" spans="1:11">
      <c r="A5" s="81"/>
      <c r="B5" s="83" t="s">
        <v>203</v>
      </c>
      <c r="C5" s="188">
        <f>諸元!F4</f>
        <v>2.1419999999999999</v>
      </c>
      <c r="D5" s="81" t="s">
        <v>204</v>
      </c>
      <c r="E5" s="81"/>
      <c r="F5" s="81"/>
      <c r="G5" s="81"/>
      <c r="H5" s="81"/>
      <c r="I5" s="81"/>
      <c r="J5" s="81"/>
      <c r="K5" s="81"/>
    </row>
    <row r="6" spans="1:11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</row>
    <row r="7" spans="1:11" ht="15" thickBot="1">
      <c r="A7" s="81"/>
      <c r="B7" s="267" t="s">
        <v>205</v>
      </c>
      <c r="C7" s="267"/>
      <c r="D7" s="81"/>
      <c r="E7" s="81"/>
      <c r="F7" s="81"/>
      <c r="G7" s="81"/>
      <c r="H7" s="81"/>
      <c r="I7" s="81"/>
      <c r="J7" s="81"/>
      <c r="K7" s="81"/>
    </row>
    <row r="8" spans="1:11">
      <c r="A8" s="81"/>
      <c r="B8" s="268" t="s">
        <v>206</v>
      </c>
      <c r="C8" s="269"/>
      <c r="D8" s="269" t="s">
        <v>207</v>
      </c>
      <c r="E8" s="269"/>
      <c r="F8" s="84" t="s">
        <v>208</v>
      </c>
      <c r="G8" s="85" t="s">
        <v>209</v>
      </c>
      <c r="H8" s="86" t="s">
        <v>210</v>
      </c>
      <c r="I8" s="81"/>
      <c r="J8" s="87" t="s">
        <v>211</v>
      </c>
      <c r="K8" s="86" t="s">
        <v>212</v>
      </c>
    </row>
    <row r="9" spans="1:11" ht="15" thickBot="1">
      <c r="A9" s="81" t="s">
        <v>213</v>
      </c>
      <c r="B9" s="88" t="s">
        <v>214</v>
      </c>
      <c r="C9" s="89" t="s">
        <v>215</v>
      </c>
      <c r="D9" s="89" t="s">
        <v>214</v>
      </c>
      <c r="E9" s="89" t="s">
        <v>215</v>
      </c>
      <c r="F9" s="89" t="s">
        <v>215</v>
      </c>
      <c r="G9" s="89" t="s">
        <v>214</v>
      </c>
      <c r="H9" s="90" t="s">
        <v>215</v>
      </c>
      <c r="I9" s="81"/>
      <c r="J9" s="88" t="s">
        <v>216</v>
      </c>
      <c r="K9" s="90" t="s">
        <v>216</v>
      </c>
    </row>
    <row r="10" spans="1:11">
      <c r="A10" s="81">
        <v>1</v>
      </c>
      <c r="B10" s="91">
        <v>4.18</v>
      </c>
      <c r="C10" s="92">
        <v>434</v>
      </c>
      <c r="D10" s="92">
        <v>9.8800000000000008</v>
      </c>
      <c r="E10" s="93">
        <v>973</v>
      </c>
      <c r="F10" s="85">
        <f>E10</f>
        <v>973</v>
      </c>
      <c r="G10" s="85">
        <f>B10+D10</f>
        <v>14.06</v>
      </c>
      <c r="H10" s="94">
        <f>((B10*C10)+(D10*F10))/G10</f>
        <v>812.75675675675677</v>
      </c>
      <c r="I10" s="81"/>
      <c r="J10" s="95">
        <f>100*($C$3-G10)/$C$3</f>
        <v>-25.872873769024178</v>
      </c>
      <c r="K10" s="94">
        <f>100*($C$4-H10)/$C$4</f>
        <v>-93568.018925529177</v>
      </c>
    </row>
    <row r="11" spans="1:11">
      <c r="A11" s="81">
        <v>2</v>
      </c>
      <c r="B11" s="96">
        <v>5.78</v>
      </c>
      <c r="C11" s="97">
        <v>495</v>
      </c>
      <c r="D11" s="97">
        <v>8.2799999999999994</v>
      </c>
      <c r="E11" s="98">
        <v>1035</v>
      </c>
      <c r="F11" s="83">
        <f>E11</f>
        <v>1035</v>
      </c>
      <c r="G11" s="83">
        <f t="shared" ref="G11:G14" si="0">B11+D11</f>
        <v>14.059999999999999</v>
      </c>
      <c r="H11" s="99">
        <f t="shared" ref="H11:H14" si="1">((B11*C11)+(D11*F11))/G11</f>
        <v>813.00853485064022</v>
      </c>
      <c r="I11" s="81"/>
      <c r="J11" s="100">
        <f t="shared" ref="J11:J14" si="2">100*($C$3-G11)/$C$3</f>
        <v>-25.87287376902416</v>
      </c>
      <c r="K11" s="99">
        <f t="shared" ref="K11:K14" si="3">100*($C$4-H11)/$C$4</f>
        <v>-93597.035670166282</v>
      </c>
    </row>
    <row r="12" spans="1:11">
      <c r="A12" s="81">
        <v>3</v>
      </c>
      <c r="B12" s="96">
        <v>6.8</v>
      </c>
      <c r="C12" s="97">
        <v>534</v>
      </c>
      <c r="D12" s="97">
        <v>7.3</v>
      </c>
      <c r="E12" s="98">
        <v>1068</v>
      </c>
      <c r="F12" s="83">
        <f t="shared" ref="F12:F14" si="4">E12</f>
        <v>1068</v>
      </c>
      <c r="G12" s="83">
        <f t="shared" si="0"/>
        <v>14.1</v>
      </c>
      <c r="H12" s="99">
        <f t="shared" si="1"/>
        <v>810.46808510638289</v>
      </c>
      <c r="I12" s="81"/>
      <c r="J12" s="100">
        <f t="shared" si="2"/>
        <v>-26.230975828111013</v>
      </c>
      <c r="K12" s="99">
        <f t="shared" si="3"/>
        <v>-93304.255705255244</v>
      </c>
    </row>
    <row r="13" spans="1:11">
      <c r="A13" s="81">
        <v>4</v>
      </c>
      <c r="B13" s="96">
        <v>7.43</v>
      </c>
      <c r="C13" s="97">
        <v>556</v>
      </c>
      <c r="D13" s="97">
        <v>6.54</v>
      </c>
      <c r="E13" s="98">
        <v>1091</v>
      </c>
      <c r="F13" s="83">
        <f t="shared" si="4"/>
        <v>1091</v>
      </c>
      <c r="G13" s="83">
        <f t="shared" si="0"/>
        <v>13.969999999999999</v>
      </c>
      <c r="H13" s="99">
        <f t="shared" si="1"/>
        <v>806.45812455261284</v>
      </c>
      <c r="I13" s="81"/>
      <c r="J13" s="100">
        <f t="shared" si="2"/>
        <v>-25.067144136078774</v>
      </c>
      <c r="K13" s="99">
        <f t="shared" si="3"/>
        <v>-92842.118592375409</v>
      </c>
    </row>
    <row r="14" spans="1:11" ht="15" thickBot="1">
      <c r="A14" s="81">
        <v>5</v>
      </c>
      <c r="B14" s="101">
        <v>5.0599999999999996</v>
      </c>
      <c r="C14" s="102">
        <v>467</v>
      </c>
      <c r="D14" s="102">
        <v>9.02</v>
      </c>
      <c r="E14" s="103">
        <v>1002</v>
      </c>
      <c r="F14" s="104">
        <f t="shared" si="4"/>
        <v>1002</v>
      </c>
      <c r="G14" s="104">
        <f t="shared" si="0"/>
        <v>14.079999999999998</v>
      </c>
      <c r="H14" s="105">
        <f t="shared" si="1"/>
        <v>809.73437500000011</v>
      </c>
      <c r="I14" s="81"/>
      <c r="J14" s="106">
        <f t="shared" si="2"/>
        <v>-26.051924798567576</v>
      </c>
      <c r="K14" s="105">
        <f t="shared" si="3"/>
        <v>-93219.697599082443</v>
      </c>
    </row>
    <row r="15" spans="1:11" ht="15" thickBot="1">
      <c r="A15" s="81"/>
      <c r="B15" s="81"/>
      <c r="C15" s="81"/>
      <c r="D15" s="81"/>
      <c r="E15" s="81"/>
      <c r="F15" s="81"/>
      <c r="G15" s="81"/>
      <c r="H15" s="107"/>
      <c r="I15" s="81"/>
      <c r="J15" s="107"/>
      <c r="K15" s="107"/>
    </row>
    <row r="16" spans="1:11" ht="15" thickBot="1">
      <c r="A16" s="81"/>
      <c r="B16" s="108" t="s">
        <v>217</v>
      </c>
      <c r="C16" s="109" t="s">
        <v>218</v>
      </c>
      <c r="D16" s="110" t="s">
        <v>219</v>
      </c>
      <c r="E16" s="81"/>
      <c r="I16" s="81"/>
    </row>
    <row r="17" spans="2:10">
      <c r="B17" s="111" t="s">
        <v>220</v>
      </c>
      <c r="C17" s="112">
        <f>AVERAGE(G10:G14)</f>
        <v>14.053999999999998</v>
      </c>
      <c r="D17" s="94">
        <f>100*($C$3-C17)/$C$3</f>
        <v>-25.819158460161134</v>
      </c>
    </row>
    <row r="18" spans="2:10">
      <c r="B18" s="113" t="s">
        <v>221</v>
      </c>
      <c r="C18" s="100">
        <f>AVERAGE(H10:H14)</f>
        <v>810.4851752532785</v>
      </c>
      <c r="D18" s="99">
        <f>100*($C$4-C18)/$C$4</f>
        <v>-93306.225298481702</v>
      </c>
    </row>
    <row r="19" spans="2:10">
      <c r="B19" s="113" t="s">
        <v>222</v>
      </c>
      <c r="C19" s="100">
        <f>C20-C18</f>
        <v>1282.5148247467214</v>
      </c>
      <c r="D19" s="99"/>
    </row>
    <row r="20" spans="2:10" ht="15" thickBot="1">
      <c r="B20" s="114" t="s">
        <v>223</v>
      </c>
      <c r="C20" s="115">
        <v>2093</v>
      </c>
      <c r="D20" s="116">
        <f>100*(C5-C20)/C5</f>
        <v>-97612.418300653604</v>
      </c>
      <c r="E20" s="82" t="s">
        <v>224</v>
      </c>
    </row>
    <row r="22" spans="2:10">
      <c r="B22" s="83" t="s">
        <v>315</v>
      </c>
      <c r="C22" s="83">
        <f>C18/1000*C17</f>
        <v>11.390558653009574</v>
      </c>
      <c r="D22" s="81" t="s">
        <v>539</v>
      </c>
      <c r="E22" s="81"/>
      <c r="F22" s="81"/>
      <c r="G22" s="81"/>
    </row>
    <row r="23" spans="2:10">
      <c r="B23" s="118"/>
      <c r="C23" s="118"/>
      <c r="D23" s="81"/>
      <c r="E23" s="81"/>
      <c r="F23" s="81"/>
      <c r="G23" s="81"/>
    </row>
    <row r="24" spans="2:10">
      <c r="B24" s="264" t="s">
        <v>316</v>
      </c>
      <c r="C24" s="265"/>
      <c r="D24" s="266"/>
      <c r="E24" s="270" t="s">
        <v>277</v>
      </c>
      <c r="F24" s="271"/>
      <c r="G24" s="272"/>
      <c r="H24" s="264" t="s">
        <v>313</v>
      </c>
      <c r="I24" s="265"/>
      <c r="J24" s="266"/>
    </row>
    <row r="25" spans="2:10">
      <c r="B25" s="123" t="s">
        <v>541</v>
      </c>
      <c r="C25" s="124">
        <f>諸元!F25-諸元!F26</f>
        <v>0.39170000000000005</v>
      </c>
      <c r="D25" s="119" t="s">
        <v>225</v>
      </c>
      <c r="E25" s="123" t="s">
        <v>226</v>
      </c>
      <c r="F25" s="124">
        <f>諸元!F24</f>
        <v>4.3497000000000003</v>
      </c>
      <c r="G25" s="119" t="s">
        <v>225</v>
      </c>
      <c r="H25" s="123" t="s">
        <v>542</v>
      </c>
      <c r="I25" s="124">
        <f>諸元!F25</f>
        <v>0.81930000000000003</v>
      </c>
      <c r="J25" s="119" t="s">
        <v>148</v>
      </c>
    </row>
    <row r="26" spans="2:10">
      <c r="B26" s="83" t="s">
        <v>227</v>
      </c>
      <c r="C26" s="122">
        <f>諸元!F9</f>
        <v>0.309</v>
      </c>
      <c r="D26" s="119" t="s">
        <v>49</v>
      </c>
      <c r="E26" s="83" t="s">
        <v>228</v>
      </c>
      <c r="F26" s="122">
        <f>諸元!F8</f>
        <v>0.91500000000000004</v>
      </c>
      <c r="G26" s="119" t="s">
        <v>49</v>
      </c>
      <c r="H26" s="83" t="s">
        <v>227</v>
      </c>
      <c r="I26" s="122">
        <f>諸元!F9</f>
        <v>0.309</v>
      </c>
      <c r="J26" s="119" t="s">
        <v>49</v>
      </c>
    </row>
    <row r="27" spans="2:10">
      <c r="B27" s="83" t="s">
        <v>229</v>
      </c>
      <c r="C27" s="83">
        <f>C25*C26</f>
        <v>0.12103530000000001</v>
      </c>
      <c r="D27" s="119" t="s">
        <v>540</v>
      </c>
      <c r="E27" s="83" t="s">
        <v>230</v>
      </c>
      <c r="F27" s="83">
        <f>F25*F26</f>
        <v>3.9799755000000006</v>
      </c>
      <c r="G27" s="119" t="s">
        <v>540</v>
      </c>
      <c r="H27" s="83" t="s">
        <v>229</v>
      </c>
      <c r="I27" s="83">
        <f>I25*I26</f>
        <v>0.25316369999999999</v>
      </c>
      <c r="J27" s="119" t="s">
        <v>540</v>
      </c>
    </row>
    <row r="28" spans="2:10">
      <c r="B28" s="120"/>
      <c r="C28" s="118"/>
      <c r="D28" s="119"/>
      <c r="E28" s="120"/>
      <c r="F28" s="118"/>
      <c r="G28" s="119"/>
      <c r="H28" s="120"/>
      <c r="I28" s="118"/>
      <c r="J28" s="119"/>
    </row>
    <row r="29" spans="2:10">
      <c r="B29" s="117" t="s">
        <v>231</v>
      </c>
      <c r="C29" s="83">
        <f>C22-C27</f>
        <v>11.269523353009573</v>
      </c>
      <c r="D29" s="119" t="s">
        <v>540</v>
      </c>
      <c r="E29" s="117" t="s">
        <v>232</v>
      </c>
      <c r="F29" s="83">
        <f>C22+F27</f>
        <v>15.370534153009574</v>
      </c>
      <c r="G29" s="119" t="s">
        <v>540</v>
      </c>
      <c r="H29" s="117" t="s">
        <v>231</v>
      </c>
      <c r="I29" s="83">
        <f>C22-I27</f>
        <v>11.137394953009574</v>
      </c>
      <c r="J29" s="119" t="s">
        <v>540</v>
      </c>
    </row>
    <row r="30" spans="2:10">
      <c r="B30" s="83" t="s">
        <v>233</v>
      </c>
      <c r="C30" s="83">
        <f>C17-C25</f>
        <v>13.662299999999998</v>
      </c>
      <c r="D30" s="119" t="s">
        <v>234</v>
      </c>
      <c r="E30" s="83" t="s">
        <v>235</v>
      </c>
      <c r="F30" s="83">
        <f>C17+F25</f>
        <v>18.403700000000001</v>
      </c>
      <c r="G30" s="119" t="s">
        <v>234</v>
      </c>
      <c r="H30" s="83" t="s">
        <v>233</v>
      </c>
      <c r="I30" s="83">
        <f>C17-I25</f>
        <v>13.234699999999998</v>
      </c>
      <c r="J30" s="119" t="s">
        <v>148</v>
      </c>
    </row>
    <row r="31" spans="2:10">
      <c r="B31" s="120"/>
      <c r="C31" s="118"/>
      <c r="D31" s="119"/>
      <c r="E31" s="120"/>
      <c r="F31" s="118"/>
      <c r="G31" s="119"/>
      <c r="H31" s="120"/>
      <c r="I31" s="118"/>
      <c r="J31" s="119"/>
    </row>
    <row r="32" spans="2:10">
      <c r="B32" s="83" t="s">
        <v>236</v>
      </c>
      <c r="C32" s="83">
        <f>C29/C30</f>
        <v>0.82486282346380735</v>
      </c>
      <c r="D32" s="119" t="s">
        <v>49</v>
      </c>
      <c r="E32" s="83" t="s">
        <v>237</v>
      </c>
      <c r="F32" s="83">
        <f>F29/F30</f>
        <v>0.83518717176489365</v>
      </c>
      <c r="G32" s="119" t="s">
        <v>49</v>
      </c>
      <c r="H32" s="83" t="s">
        <v>236</v>
      </c>
      <c r="I32" s="83">
        <f>I29/I30</f>
        <v>0.84152983845569418</v>
      </c>
      <c r="J32" s="119" t="s">
        <v>49</v>
      </c>
    </row>
    <row r="33" spans="2:10">
      <c r="B33" s="83" t="s">
        <v>238</v>
      </c>
      <c r="C33" s="83">
        <f>(C20-C32)/1000</f>
        <v>2.0921751371765365</v>
      </c>
      <c r="D33" s="121" t="s">
        <v>49</v>
      </c>
      <c r="E33" s="83" t="s">
        <v>238</v>
      </c>
      <c r="F33" s="83">
        <f>(C20-F32)/1000</f>
        <v>2.0921648128282349</v>
      </c>
      <c r="G33" s="121" t="s">
        <v>49</v>
      </c>
      <c r="H33" s="83" t="s">
        <v>222</v>
      </c>
      <c r="I33" s="83">
        <f>(C20-I32)/1000</f>
        <v>2.0921584701615443</v>
      </c>
      <c r="J33" s="121" t="s">
        <v>49</v>
      </c>
    </row>
    <row r="34" spans="2:10">
      <c r="B34" s="81"/>
      <c r="C34" s="81"/>
      <c r="D34" s="81"/>
      <c r="E34" s="81"/>
      <c r="F34" s="81"/>
      <c r="G34" s="81"/>
    </row>
    <row r="35" spans="2:10">
      <c r="B35" s="83" t="s">
        <v>239</v>
      </c>
      <c r="C35" s="83"/>
      <c r="D35" s="83">
        <f>100*(F33-C33)/(C20/1000)</f>
        <v>-4.9327989974275069E-4</v>
      </c>
      <c r="E35" s="81" t="s">
        <v>240</v>
      </c>
      <c r="F35" s="81"/>
      <c r="G35" s="81"/>
    </row>
    <row r="36" spans="2:10">
      <c r="B36" s="81"/>
      <c r="C36" s="81"/>
      <c r="D36" s="81"/>
      <c r="E36" s="81"/>
      <c r="F36" s="81"/>
      <c r="G36" s="81"/>
    </row>
    <row r="37" spans="2:10">
      <c r="B37" s="81"/>
      <c r="C37" s="81"/>
      <c r="D37" s="81"/>
      <c r="E37" s="81"/>
      <c r="F37" s="81"/>
      <c r="G37" s="81"/>
    </row>
  </sheetData>
  <mergeCells count="6">
    <mergeCell ref="H24:J24"/>
    <mergeCell ref="B7:C7"/>
    <mergeCell ref="B8:C8"/>
    <mergeCell ref="D8:E8"/>
    <mergeCell ref="B24:D24"/>
    <mergeCell ref="E24:G24"/>
  </mergeCells>
  <phoneticPr fontId="13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4"/>
  <sheetViews>
    <sheetView zoomScale="60" zoomScaleNormal="60" workbookViewId="0">
      <selection activeCell="F19" sqref="F19"/>
    </sheetView>
  </sheetViews>
  <sheetFormatPr defaultColWidth="9" defaultRowHeight="19.5" customHeight="1"/>
  <cols>
    <col min="1" max="1" width="9" style="143"/>
    <col min="2" max="2" width="31.625" style="143" customWidth="1"/>
    <col min="3" max="3" width="7.5" style="143" customWidth="1"/>
    <col min="4" max="4" width="8.875" style="143" customWidth="1"/>
    <col min="5" max="5" width="8" style="143" customWidth="1"/>
    <col min="6" max="6" width="9" style="143"/>
    <col min="7" max="7" width="29.875" style="143" customWidth="1"/>
    <col min="8" max="8" width="5.25" style="143" customWidth="1"/>
    <col min="9" max="9" width="9" style="143"/>
    <col min="10" max="10" width="6.75" style="143" customWidth="1"/>
    <col min="11" max="11" width="9" style="143"/>
    <col min="12" max="12" width="31.625" style="143" customWidth="1"/>
    <col min="13" max="13" width="4.375" style="143" customWidth="1"/>
    <col min="14" max="14" width="9" style="143"/>
    <col min="15" max="15" width="5.625" style="143" customWidth="1"/>
    <col min="16" max="16" width="9" style="143"/>
    <col min="17" max="17" width="27.375" style="143" customWidth="1"/>
    <col min="18" max="18" width="7.75" style="143" customWidth="1"/>
    <col min="19" max="19" width="9" style="143"/>
    <col min="20" max="20" width="7.75" style="143" customWidth="1"/>
    <col min="21" max="22" width="9" style="143"/>
    <col min="23" max="23" width="28.5" style="143" customWidth="1"/>
    <col min="24" max="24" width="7.375" style="143" customWidth="1"/>
    <col min="25" max="25" width="9" style="143"/>
    <col min="26" max="27" width="8.25" style="143" customWidth="1"/>
    <col min="28" max="28" width="8.5" style="143" customWidth="1"/>
    <col min="29" max="30" width="9.25" style="143" customWidth="1"/>
    <col min="31" max="16384" width="9" style="143"/>
  </cols>
  <sheetData>
    <row r="1" spans="1:58" ht="19.5" customHeight="1" thickBot="1">
      <c r="A1" s="140"/>
      <c r="B1" s="236" t="s">
        <v>505</v>
      </c>
      <c r="C1" s="237"/>
      <c r="D1" s="237"/>
      <c r="E1" s="237"/>
      <c r="F1" s="237"/>
      <c r="G1" s="237"/>
      <c r="H1" s="237"/>
      <c r="I1" s="237"/>
      <c r="J1" s="238"/>
      <c r="K1" s="141"/>
      <c r="L1" s="239" t="s">
        <v>504</v>
      </c>
      <c r="M1" s="239"/>
      <c r="N1" s="239"/>
      <c r="O1" s="239"/>
      <c r="P1" s="239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2"/>
    </row>
    <row r="2" spans="1:58" ht="19.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255" t="s">
        <v>528</v>
      </c>
      <c r="AC2" s="256"/>
      <c r="AD2" s="256"/>
      <c r="AE2" s="256"/>
      <c r="AF2" s="256"/>
      <c r="AG2" s="256"/>
      <c r="AH2" s="256"/>
      <c r="AI2" s="257"/>
      <c r="AJ2" s="146"/>
    </row>
    <row r="3" spans="1:58" ht="19.5" customHeight="1" thickBot="1">
      <c r="A3" s="144"/>
      <c r="B3" s="147" t="s">
        <v>294</v>
      </c>
      <c r="C3" s="147"/>
      <c r="D3" s="148">
        <v>2</v>
      </c>
      <c r="E3" s="147"/>
      <c r="F3" s="145"/>
      <c r="G3" s="147" t="s">
        <v>245</v>
      </c>
      <c r="H3" s="147" t="s">
        <v>246</v>
      </c>
      <c r="I3" s="149">
        <f>諸元!F5*1000</f>
        <v>118</v>
      </c>
      <c r="J3" s="147" t="s">
        <v>155</v>
      </c>
      <c r="K3" s="145"/>
      <c r="L3" s="147" t="s">
        <v>272</v>
      </c>
      <c r="M3" s="147"/>
      <c r="N3" s="148">
        <v>4</v>
      </c>
      <c r="O3" s="147" t="s">
        <v>273</v>
      </c>
      <c r="P3" s="145"/>
      <c r="Q3" s="147" t="s">
        <v>301</v>
      </c>
      <c r="R3" s="147" t="s">
        <v>506</v>
      </c>
      <c r="S3" s="149" t="e">
        <f>諸元!#REF!</f>
        <v>#REF!</v>
      </c>
      <c r="T3" s="147" t="s">
        <v>155</v>
      </c>
      <c r="U3" s="145"/>
      <c r="V3" s="145"/>
      <c r="W3" s="244" t="s">
        <v>241</v>
      </c>
      <c r="X3" s="245"/>
      <c r="Y3" s="245"/>
      <c r="Z3" s="246"/>
      <c r="AA3" s="145"/>
      <c r="AB3" s="258"/>
      <c r="AC3" s="259"/>
      <c r="AD3" s="259"/>
      <c r="AE3" s="259"/>
      <c r="AF3" s="259"/>
      <c r="AG3" s="259"/>
      <c r="AH3" s="259"/>
      <c r="AI3" s="260"/>
      <c r="AJ3" s="146"/>
      <c r="AM3" s="236" t="s">
        <v>461</v>
      </c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8"/>
      <c r="BB3" s="236" t="s">
        <v>486</v>
      </c>
      <c r="BC3" s="237"/>
      <c r="BD3" s="237"/>
      <c r="BE3" s="237"/>
      <c r="BF3" s="238"/>
    </row>
    <row r="4" spans="1:58" ht="19.5" customHeight="1">
      <c r="A4" s="144"/>
      <c r="B4" s="147" t="s">
        <v>295</v>
      </c>
      <c r="C4" s="147"/>
      <c r="D4" s="147"/>
      <c r="E4" s="147"/>
      <c r="F4" s="145"/>
      <c r="G4" s="147" t="s">
        <v>251</v>
      </c>
      <c r="H4" s="147" t="s">
        <v>252</v>
      </c>
      <c r="I4" s="149">
        <f>I3/2</f>
        <v>59</v>
      </c>
      <c r="J4" s="147" t="s">
        <v>155</v>
      </c>
      <c r="K4" s="145"/>
      <c r="L4" s="147"/>
      <c r="M4" s="147"/>
      <c r="N4" s="149"/>
      <c r="O4" s="147"/>
      <c r="P4" s="145"/>
      <c r="Q4" s="147" t="s">
        <v>302</v>
      </c>
      <c r="R4" s="147" t="s">
        <v>507</v>
      </c>
      <c r="S4" s="149" t="e">
        <f>諸元!#REF!</f>
        <v>#REF!</v>
      </c>
      <c r="T4" s="147" t="s">
        <v>155</v>
      </c>
      <c r="U4" s="145"/>
      <c r="V4" s="145"/>
      <c r="W4" s="150" t="s">
        <v>242</v>
      </c>
      <c r="X4" s="151"/>
      <c r="Y4" s="151" t="s">
        <v>243</v>
      </c>
      <c r="Z4" s="152" t="s">
        <v>244</v>
      </c>
      <c r="AA4" s="145"/>
      <c r="AB4" s="258"/>
      <c r="AC4" s="259"/>
      <c r="AD4" s="259"/>
      <c r="AE4" s="259"/>
      <c r="AF4" s="259"/>
      <c r="AG4" s="259"/>
      <c r="AH4" s="259"/>
      <c r="AI4" s="260"/>
      <c r="AJ4" s="146"/>
      <c r="AM4" s="144" t="s">
        <v>440</v>
      </c>
      <c r="AN4" s="145">
        <f>N12+I4</f>
        <v>179</v>
      </c>
      <c r="AO4" s="145"/>
      <c r="AP4" s="153" t="s">
        <v>401</v>
      </c>
      <c r="AQ4" s="154" t="s">
        <v>439</v>
      </c>
      <c r="AR4" s="154" t="s">
        <v>452</v>
      </c>
      <c r="AS4" s="154" t="s">
        <v>453</v>
      </c>
      <c r="AT4" s="154" t="s">
        <v>454</v>
      </c>
      <c r="AU4" s="154" t="s">
        <v>456</v>
      </c>
      <c r="AV4" s="155" t="s">
        <v>457</v>
      </c>
      <c r="AW4" s="145"/>
      <c r="AX4" s="145"/>
      <c r="AY4" s="146"/>
      <c r="BB4" s="144"/>
      <c r="BC4" s="145"/>
      <c r="BD4" s="145"/>
      <c r="BE4" s="145"/>
      <c r="BF4" s="146"/>
    </row>
    <row r="5" spans="1:58" ht="19.5" customHeight="1">
      <c r="A5" s="144"/>
      <c r="B5" s="147" t="s">
        <v>296</v>
      </c>
      <c r="C5" s="147"/>
      <c r="D5" s="147"/>
      <c r="E5" s="147"/>
      <c r="F5" s="145"/>
      <c r="G5" s="147" t="s">
        <v>256</v>
      </c>
      <c r="H5" s="147" t="s">
        <v>508</v>
      </c>
      <c r="I5" s="149">
        <f>重心測定!C20</f>
        <v>2093</v>
      </c>
      <c r="J5" s="147" t="s">
        <v>155</v>
      </c>
      <c r="K5" s="145"/>
      <c r="L5" s="147" t="s">
        <v>275</v>
      </c>
      <c r="M5" s="147" t="s">
        <v>509</v>
      </c>
      <c r="N5" s="148"/>
      <c r="O5" s="147" t="s">
        <v>155</v>
      </c>
      <c r="P5" s="145"/>
      <c r="Q5" s="147" t="s">
        <v>303</v>
      </c>
      <c r="R5" s="147" t="s">
        <v>304</v>
      </c>
      <c r="S5" s="147" t="e">
        <f>I5-S4</f>
        <v>#REF!</v>
      </c>
      <c r="T5" s="147" t="s">
        <v>155</v>
      </c>
      <c r="U5" s="145"/>
      <c r="V5" s="145"/>
      <c r="W5" s="156" t="s">
        <v>279</v>
      </c>
      <c r="X5" s="157" t="s">
        <v>280</v>
      </c>
      <c r="Y5" s="157" t="e">
        <f>S11/1000</f>
        <v>#REF!</v>
      </c>
      <c r="Z5" s="158" t="s">
        <v>49</v>
      </c>
      <c r="AA5" s="145"/>
      <c r="AB5" s="258"/>
      <c r="AC5" s="259"/>
      <c r="AD5" s="259"/>
      <c r="AE5" s="259"/>
      <c r="AF5" s="259"/>
      <c r="AG5" s="259"/>
      <c r="AH5" s="259"/>
      <c r="AI5" s="260"/>
      <c r="AJ5" s="146"/>
      <c r="AM5" s="144" t="s">
        <v>444</v>
      </c>
      <c r="AN5" s="145">
        <f>AN4/I4</f>
        <v>3.0338983050847457</v>
      </c>
      <c r="AO5" s="145"/>
      <c r="AP5" s="159">
        <v>1.3</v>
      </c>
      <c r="AQ5" s="160">
        <f>IF(AP5&gt;1,SQRT(AP5^2-1),SQRT(1-AP5^2))</f>
        <v>0.83066238629180755</v>
      </c>
      <c r="AR5" s="160">
        <f>AQ5*$AN$12</f>
        <v>2.0813236576293961</v>
      </c>
      <c r="AS5" s="160">
        <f>IF(AR5&gt;=1,4/AQ5*(1-1/(2*AR5)),IF(AR5&gt;=0.5,4/(PI()*AQ5)*((2-1/(AR5))*ASIN(AR5)+(AR5-2)*ACOSH(1/AR5)+(1+1/AR5)*(1-AQ5^2*$AN$12^2)^0.5),0))</f>
        <v>3.658614013838708</v>
      </c>
      <c r="AT5" s="160">
        <f>0.5*(AR5-2/3)/(AR5-0.5)</f>
        <v>0.447301532528603</v>
      </c>
      <c r="AU5" s="160">
        <f t="shared" ref="AU5:AU36" si="0">AT5*$Y$29</f>
        <v>100.77281201923948</v>
      </c>
      <c r="AV5" s="161" t="e">
        <f t="shared" ref="AV5:AV36" si="1">AU5+$N$6</f>
        <v>#REF!</v>
      </c>
      <c r="AW5" s="145" t="s">
        <v>459</v>
      </c>
      <c r="AX5" s="145"/>
      <c r="AY5" s="146"/>
      <c r="BB5" s="247" t="s">
        <v>487</v>
      </c>
      <c r="BC5" s="248"/>
      <c r="BD5" s="145"/>
      <c r="BE5" s="248" t="s">
        <v>237</v>
      </c>
      <c r="BF5" s="252"/>
    </row>
    <row r="6" spans="1:58" ht="19.5" customHeight="1">
      <c r="A6" s="144"/>
      <c r="B6" s="147"/>
      <c r="C6" s="147"/>
      <c r="D6" s="147"/>
      <c r="E6" s="147"/>
      <c r="F6" s="145"/>
      <c r="G6" s="147" t="s">
        <v>259</v>
      </c>
      <c r="H6" s="147" t="s">
        <v>260</v>
      </c>
      <c r="I6" s="147">
        <f>I5/I3</f>
        <v>17.737288135593221</v>
      </c>
      <c r="J6" s="147"/>
      <c r="K6" s="145"/>
      <c r="L6" s="147" t="s">
        <v>278</v>
      </c>
      <c r="M6" s="147" t="s">
        <v>509</v>
      </c>
      <c r="N6" s="149" t="e">
        <f>I5-S4-N9</f>
        <v>#REF!</v>
      </c>
      <c r="O6" s="147" t="s">
        <v>155</v>
      </c>
      <c r="P6" s="145"/>
      <c r="Q6" s="147"/>
      <c r="R6" s="147"/>
      <c r="S6" s="147"/>
      <c r="T6" s="147"/>
      <c r="U6" s="145"/>
      <c r="V6" s="145"/>
      <c r="W6" s="156" t="s">
        <v>348</v>
      </c>
      <c r="X6" s="157" t="s">
        <v>510</v>
      </c>
      <c r="Y6" s="157">
        <f>-4*2*($N$12+$I$4)^4/(PI()*$I$5^2*($I$3^2*PI()/4))</f>
        <v>-5.4570745345321282E-2</v>
      </c>
      <c r="Z6" s="158" t="s">
        <v>56</v>
      </c>
      <c r="AA6" s="145"/>
      <c r="AB6" s="258"/>
      <c r="AC6" s="259"/>
      <c r="AD6" s="259"/>
      <c r="AE6" s="259"/>
      <c r="AF6" s="259"/>
      <c r="AG6" s="259"/>
      <c r="AH6" s="259"/>
      <c r="AI6" s="260"/>
      <c r="AJ6" s="146"/>
      <c r="AM6" s="144" t="s">
        <v>441</v>
      </c>
      <c r="AN6" s="145">
        <f>I4/AN4</f>
        <v>0.32960893854748602</v>
      </c>
      <c r="AO6" s="145"/>
      <c r="AP6" s="162">
        <v>0</v>
      </c>
      <c r="AQ6" s="145">
        <f>IF(AP6&gt;1,SQRT(AP6^2-1),SQRT(1-AP6^2))</f>
        <v>1</v>
      </c>
      <c r="AR6" s="145">
        <f t="shared" ref="AR6:AR56" si="2">AQ6*$AN$12</f>
        <v>2.5056192407130826</v>
      </c>
      <c r="AS6" s="145">
        <f>2*PI()*$AN$12/(2+AQ6*$AN$12)</f>
        <v>3.494141239538763</v>
      </c>
      <c r="AT6" s="145">
        <f>0.2*AR6</f>
        <v>0.50112384814261657</v>
      </c>
      <c r="AU6" s="145">
        <f t="shared" si="0"/>
        <v>112.89847155621936</v>
      </c>
      <c r="AV6" s="163" t="e">
        <f t="shared" si="1"/>
        <v>#REF!</v>
      </c>
      <c r="AW6" s="145"/>
      <c r="AX6" s="145"/>
      <c r="AY6" s="146"/>
      <c r="BB6" s="144" t="s">
        <v>488</v>
      </c>
      <c r="BC6" s="145" t="s">
        <v>489</v>
      </c>
      <c r="BD6" s="145"/>
      <c r="BE6" s="145" t="s">
        <v>488</v>
      </c>
      <c r="BF6" s="146" t="s">
        <v>489</v>
      </c>
    </row>
    <row r="7" spans="1:58" ht="19.5" customHeight="1">
      <c r="A7" s="144"/>
      <c r="B7" s="147" t="s">
        <v>297</v>
      </c>
      <c r="C7" s="147" t="s">
        <v>511</v>
      </c>
      <c r="D7" s="149" t="e">
        <f>諸元!#REF!</f>
        <v>#REF!</v>
      </c>
      <c r="E7" s="147" t="s">
        <v>155</v>
      </c>
      <c r="F7" s="145"/>
      <c r="G7" s="147"/>
      <c r="H7" s="147"/>
      <c r="I7" s="147"/>
      <c r="J7" s="147"/>
      <c r="K7" s="145"/>
      <c r="L7" s="147"/>
      <c r="M7" s="147"/>
      <c r="N7" s="149"/>
      <c r="O7" s="147"/>
      <c r="P7" s="145"/>
      <c r="Q7" s="147" t="s">
        <v>261</v>
      </c>
      <c r="R7" s="147" t="s">
        <v>512</v>
      </c>
      <c r="S7" s="147" t="e">
        <f>2*((S3/I3)^2-(I3/I3)^2)</f>
        <v>#REF!</v>
      </c>
      <c r="T7" s="147" t="s">
        <v>399</v>
      </c>
      <c r="U7" s="145"/>
      <c r="V7" s="145"/>
      <c r="W7" s="156" t="s">
        <v>347</v>
      </c>
      <c r="X7" s="157" t="s">
        <v>513</v>
      </c>
      <c r="Y7" s="157" t="e">
        <f>AVERAGE(S26,S32)</f>
        <v>#REF!</v>
      </c>
      <c r="Z7" s="158" t="s">
        <v>56</v>
      </c>
      <c r="AA7" s="145"/>
      <c r="AB7" s="258"/>
      <c r="AC7" s="259"/>
      <c r="AD7" s="259"/>
      <c r="AE7" s="259"/>
      <c r="AF7" s="259"/>
      <c r="AG7" s="259"/>
      <c r="AH7" s="259"/>
      <c r="AI7" s="260"/>
      <c r="AJ7" s="146"/>
      <c r="AM7" s="144"/>
      <c r="AN7" s="145"/>
      <c r="AO7" s="145"/>
      <c r="AP7" s="162">
        <v>0.1</v>
      </c>
      <c r="AQ7" s="145">
        <f t="shared" ref="AQ7:AQ56" si="3">IF(AP7&gt;1,SQRT(AP7^2-1),SQRT(1-AP7^2))</f>
        <v>0.99498743710661997</v>
      </c>
      <c r="AR7" s="145">
        <f t="shared" si="2"/>
        <v>2.4930596666821452</v>
      </c>
      <c r="AS7" s="145">
        <f t="shared" ref="AS7:AS15" si="4">2*PI()*$AN$12/(2+AQ7*$AN$12)</f>
        <v>3.5039085092454099</v>
      </c>
      <c r="AT7" s="145">
        <f t="shared" ref="AT7:AT15" si="5">0.2*AR7</f>
        <v>0.49861193333642906</v>
      </c>
      <c r="AU7" s="145">
        <f t="shared" si="0"/>
        <v>112.33256086697733</v>
      </c>
      <c r="AV7" s="163" t="e">
        <f t="shared" si="1"/>
        <v>#REF!</v>
      </c>
      <c r="AW7" s="145"/>
      <c r="AX7" s="145"/>
      <c r="AY7" s="146"/>
      <c r="BB7" s="144">
        <v>0</v>
      </c>
      <c r="BC7" s="145">
        <v>0</v>
      </c>
      <c r="BD7" s="145"/>
      <c r="BE7" s="145">
        <f>I9</f>
        <v>2.0921648128282349</v>
      </c>
      <c r="BF7" s="146">
        <v>0</v>
      </c>
    </row>
    <row r="8" spans="1:58" ht="19.5" customHeight="1">
      <c r="A8" s="144"/>
      <c r="B8" s="147"/>
      <c r="C8" s="147"/>
      <c r="D8" s="147"/>
      <c r="E8" s="147"/>
      <c r="F8" s="145"/>
      <c r="G8" s="147" t="s">
        <v>263</v>
      </c>
      <c r="H8" s="147" t="s">
        <v>264</v>
      </c>
      <c r="I8" s="149">
        <f>重心測定!C19</f>
        <v>1282.5148247467214</v>
      </c>
      <c r="J8" s="147" t="s">
        <v>155</v>
      </c>
      <c r="K8" s="145"/>
      <c r="L8" s="147" t="s">
        <v>284</v>
      </c>
      <c r="M8" s="147"/>
      <c r="N8" s="149"/>
      <c r="O8" s="147"/>
      <c r="P8" s="145"/>
      <c r="Q8" s="147" t="s">
        <v>344</v>
      </c>
      <c r="R8" s="147" t="s">
        <v>514</v>
      </c>
      <c r="S8" s="147" t="e">
        <f>S7/2</f>
        <v>#REF!</v>
      </c>
      <c r="T8" s="147"/>
      <c r="U8" s="145"/>
      <c r="V8" s="145"/>
      <c r="W8" s="156" t="s">
        <v>474</v>
      </c>
      <c r="X8" s="157" t="s">
        <v>515</v>
      </c>
      <c r="Y8" s="157">
        <v>0.3</v>
      </c>
      <c r="Z8" s="158" t="s">
        <v>479</v>
      </c>
      <c r="AA8" s="145"/>
      <c r="AB8" s="258"/>
      <c r="AC8" s="259"/>
      <c r="AD8" s="259"/>
      <c r="AE8" s="259"/>
      <c r="AF8" s="259"/>
      <c r="AG8" s="259"/>
      <c r="AH8" s="259"/>
      <c r="AI8" s="260"/>
      <c r="AJ8" s="146"/>
      <c r="AM8" s="144" t="s">
        <v>446</v>
      </c>
      <c r="AN8" s="145">
        <f>(PI()*0.5*((AN5^2-1)/AN5)^2+((AN5^2+1)/AN5)^2*ASIN((AN5^2-1)/(AN5^2+1))-2*(AN5^2-1)/AN5)/(PI()*(AN5-1)^2)</f>
        <v>1.280823097894592</v>
      </c>
      <c r="AO8" s="145"/>
      <c r="AP8" s="162">
        <v>0.2</v>
      </c>
      <c r="AQ8" s="145">
        <f t="shared" si="3"/>
        <v>0.9797958971132712</v>
      </c>
      <c r="AR8" s="145">
        <f t="shared" si="2"/>
        <v>2.454995451778748</v>
      </c>
      <c r="AS8" s="145">
        <f t="shared" si="4"/>
        <v>3.5338464806623064</v>
      </c>
      <c r="AT8" s="145">
        <f t="shared" si="5"/>
        <v>0.49099909035574962</v>
      </c>
      <c r="AU8" s="145">
        <f t="shared" si="0"/>
        <v>110.61745922114306</v>
      </c>
      <c r="AV8" s="163" t="e">
        <f t="shared" si="1"/>
        <v>#REF!</v>
      </c>
      <c r="AW8" s="145"/>
      <c r="AX8" s="145"/>
      <c r="AY8" s="146"/>
      <c r="BB8" s="144" t="e">
        <f>D7</f>
        <v>#REF!</v>
      </c>
      <c r="BC8" s="145">
        <f>I4</f>
        <v>59</v>
      </c>
      <c r="BD8" s="145"/>
      <c r="BE8" s="145"/>
      <c r="BF8" s="146"/>
    </row>
    <row r="9" spans="1:58" ht="19.5" customHeight="1" thickBot="1">
      <c r="A9" s="144"/>
      <c r="B9" s="147" t="s">
        <v>298</v>
      </c>
      <c r="C9" s="147" t="s">
        <v>299</v>
      </c>
      <c r="D9" s="149" t="e">
        <f>D7/I3</f>
        <v>#REF!</v>
      </c>
      <c r="E9" s="147"/>
      <c r="F9" s="145"/>
      <c r="G9" s="147" t="s">
        <v>265</v>
      </c>
      <c r="H9" s="147" t="s">
        <v>266</v>
      </c>
      <c r="I9" s="149">
        <f>重心測定!F33</f>
        <v>2.0921648128282349</v>
      </c>
      <c r="J9" s="147" t="s">
        <v>155</v>
      </c>
      <c r="K9" s="145"/>
      <c r="L9" s="147" t="s">
        <v>396</v>
      </c>
      <c r="M9" s="147" t="s">
        <v>364</v>
      </c>
      <c r="N9" s="148">
        <v>200</v>
      </c>
      <c r="O9" s="147" t="s">
        <v>155</v>
      </c>
      <c r="P9" s="145"/>
      <c r="Q9" s="147" t="s">
        <v>262</v>
      </c>
      <c r="R9" s="147" t="s">
        <v>516</v>
      </c>
      <c r="S9" s="147" t="e">
        <f>S5+(S4/3)*(1+((1-(I3/S3))/(1-(I3/S3)^2)))</f>
        <v>#REF!</v>
      </c>
      <c r="T9" s="147" t="s">
        <v>155</v>
      </c>
      <c r="U9" s="145"/>
      <c r="V9" s="145"/>
      <c r="W9" s="164" t="s">
        <v>276</v>
      </c>
      <c r="X9" s="165" t="s">
        <v>517</v>
      </c>
      <c r="Y9" s="165" t="e">
        <f>D12+S7+I14</f>
        <v>#REF!</v>
      </c>
      <c r="Z9" s="166" t="s">
        <v>480</v>
      </c>
      <c r="AA9" s="145"/>
      <c r="AB9" s="258"/>
      <c r="AC9" s="259"/>
      <c r="AD9" s="259"/>
      <c r="AE9" s="259"/>
      <c r="AF9" s="259"/>
      <c r="AG9" s="259"/>
      <c r="AH9" s="259"/>
      <c r="AI9" s="260"/>
      <c r="AJ9" s="146"/>
      <c r="AM9" s="144" t="s">
        <v>445</v>
      </c>
      <c r="AN9" s="145">
        <f>(1+AN6)^2-AN8</f>
        <v>0.48703683157078048</v>
      </c>
      <c r="AO9" s="145"/>
      <c r="AP9" s="162">
        <v>0.3</v>
      </c>
      <c r="AQ9" s="145">
        <f t="shared" si="3"/>
        <v>0.95393920141694566</v>
      </c>
      <c r="AR9" s="145">
        <f t="shared" si="2"/>
        <v>2.3902084175407716</v>
      </c>
      <c r="AS9" s="145">
        <f t="shared" si="4"/>
        <v>3.5859960396717785</v>
      </c>
      <c r="AT9" s="145">
        <f t="shared" si="5"/>
        <v>0.47804168350815435</v>
      </c>
      <c r="AU9" s="145">
        <f t="shared" si="0"/>
        <v>107.69827779753363</v>
      </c>
      <c r="AV9" s="163" t="e">
        <f t="shared" si="1"/>
        <v>#REF!</v>
      </c>
      <c r="AW9" s="145"/>
      <c r="AX9" s="145"/>
      <c r="AY9" s="146"/>
      <c r="BB9" s="144" t="e">
        <f>BB8</f>
        <v>#REF!</v>
      </c>
      <c r="BC9" s="145">
        <f>-BC8</f>
        <v>-59</v>
      </c>
      <c r="BD9" s="145"/>
      <c r="BE9" s="248" t="s">
        <v>356</v>
      </c>
      <c r="BF9" s="252"/>
    </row>
    <row r="10" spans="1:58" ht="19.5" customHeight="1" thickBot="1">
      <c r="A10" s="144"/>
      <c r="B10" s="147" t="s">
        <v>300</v>
      </c>
      <c r="C10" s="147"/>
      <c r="D10" s="149" t="e">
        <f>IF(D3=1,2/3,IF(D3=2,1-((8*D9^2/3)+((4*D9^2-1)^2/4)-(((4*D9^2-1)*(4*D9^2+1)^2/(16*D9))*ASIN(4*D9/(4*D9^2+1)))),0))</f>
        <v>#REF!</v>
      </c>
      <c r="E10" s="147"/>
      <c r="F10" s="145"/>
      <c r="G10" s="147" t="s">
        <v>268</v>
      </c>
      <c r="H10" s="147" t="s">
        <v>269</v>
      </c>
      <c r="I10" s="149">
        <f>重心測定!C33</f>
        <v>2.0921751371765365</v>
      </c>
      <c r="J10" s="147" t="s">
        <v>155</v>
      </c>
      <c r="K10" s="145"/>
      <c r="L10" s="147" t="s">
        <v>286</v>
      </c>
      <c r="M10" s="147" t="s">
        <v>287</v>
      </c>
      <c r="N10" s="148">
        <v>120</v>
      </c>
      <c r="O10" s="147" t="s">
        <v>155</v>
      </c>
      <c r="P10" s="145"/>
      <c r="U10" s="145"/>
      <c r="V10" s="145"/>
      <c r="W10" s="156"/>
      <c r="X10" s="157"/>
      <c r="Y10" s="157"/>
      <c r="Z10" s="158"/>
      <c r="AA10" s="145"/>
      <c r="AB10" s="258"/>
      <c r="AC10" s="259"/>
      <c r="AD10" s="259"/>
      <c r="AE10" s="259"/>
      <c r="AF10" s="259"/>
      <c r="AG10" s="259"/>
      <c r="AH10" s="259"/>
      <c r="AI10" s="260"/>
      <c r="AJ10" s="146"/>
      <c r="AM10" s="144"/>
      <c r="AN10" s="145"/>
      <c r="AO10" s="145"/>
      <c r="AP10" s="162">
        <v>0.4</v>
      </c>
      <c r="AQ10" s="145">
        <f t="shared" si="3"/>
        <v>0.91651513899116799</v>
      </c>
      <c r="AR10" s="145">
        <f t="shared" si="2"/>
        <v>2.2964379666610957</v>
      </c>
      <c r="AS10" s="145">
        <f t="shared" si="4"/>
        <v>3.6642609810259938</v>
      </c>
      <c r="AT10" s="145">
        <f t="shared" si="5"/>
        <v>0.45928759333221914</v>
      </c>
      <c r="AU10" s="145">
        <f t="shared" si="0"/>
        <v>103.4731583502388</v>
      </c>
      <c r="AV10" s="163" t="e">
        <f t="shared" si="1"/>
        <v>#REF!</v>
      </c>
      <c r="AW10" s="145"/>
      <c r="AX10" s="145"/>
      <c r="AY10" s="146"/>
      <c r="BB10" s="144">
        <v>0</v>
      </c>
      <c r="BC10" s="145">
        <v>0</v>
      </c>
      <c r="BD10" s="145"/>
      <c r="BE10" s="145" t="s">
        <v>490</v>
      </c>
      <c r="BF10" s="146" t="s">
        <v>491</v>
      </c>
    </row>
    <row r="11" spans="1:58" ht="19.5" customHeight="1" thickBot="1">
      <c r="A11" s="144"/>
      <c r="B11" s="147"/>
      <c r="C11" s="147"/>
      <c r="D11" s="147"/>
      <c r="E11" s="147"/>
      <c r="F11" s="145"/>
      <c r="G11" s="145"/>
      <c r="H11" s="145"/>
      <c r="I11" s="145"/>
      <c r="J11" s="145"/>
      <c r="K11" s="145"/>
      <c r="L11" s="147" t="s">
        <v>372</v>
      </c>
      <c r="M11" s="147" t="s">
        <v>49</v>
      </c>
      <c r="N11" s="148">
        <v>145</v>
      </c>
      <c r="O11" s="147" t="s">
        <v>155</v>
      </c>
      <c r="P11" s="145"/>
      <c r="Q11" s="176" t="s">
        <v>279</v>
      </c>
      <c r="R11" s="177" t="s">
        <v>280</v>
      </c>
      <c r="S11" s="177" t="e">
        <f>(D12*D14+S7*S9+I14*I16)/Y9</f>
        <v>#REF!</v>
      </c>
      <c r="T11" s="178" t="s">
        <v>155</v>
      </c>
      <c r="U11" s="145"/>
      <c r="V11" s="145"/>
      <c r="W11" s="164"/>
      <c r="X11" s="165"/>
      <c r="Y11" s="165"/>
      <c r="Z11" s="166"/>
      <c r="AA11" s="145"/>
      <c r="AB11" s="261"/>
      <c r="AC11" s="262"/>
      <c r="AD11" s="262"/>
      <c r="AE11" s="262"/>
      <c r="AF11" s="262"/>
      <c r="AG11" s="262"/>
      <c r="AH11" s="262"/>
      <c r="AI11" s="263"/>
      <c r="AJ11" s="146"/>
      <c r="AM11" s="144"/>
      <c r="AN11" s="145"/>
      <c r="AO11" s="145"/>
      <c r="AP11" s="162">
        <v>0.5</v>
      </c>
      <c r="AQ11" s="145">
        <f t="shared" si="3"/>
        <v>0.8660254037844386</v>
      </c>
      <c r="AR11" s="145">
        <f t="shared" si="2"/>
        <v>2.169929914668606</v>
      </c>
      <c r="AS11" s="145">
        <f t="shared" si="4"/>
        <v>3.7754279618116957</v>
      </c>
      <c r="AT11" s="145">
        <f t="shared" si="5"/>
        <v>0.4339859829337212</v>
      </c>
      <c r="AU11" s="145">
        <f t="shared" si="0"/>
        <v>97.772944416120822</v>
      </c>
      <c r="AV11" s="163" t="e">
        <f t="shared" si="1"/>
        <v>#REF!</v>
      </c>
      <c r="AW11" s="145"/>
      <c r="AX11" s="145"/>
      <c r="AY11" s="146"/>
      <c r="BB11" s="144"/>
      <c r="BC11" s="145"/>
      <c r="BD11" s="145"/>
      <c r="BE11" s="145" t="e">
        <f>S11</f>
        <v>#REF!</v>
      </c>
      <c r="BF11" s="146">
        <v>0</v>
      </c>
    </row>
    <row r="12" spans="1:58" ht="19.5" customHeight="1">
      <c r="A12" s="144"/>
      <c r="B12" s="147" t="s">
        <v>247</v>
      </c>
      <c r="C12" s="147" t="s">
        <v>518</v>
      </c>
      <c r="D12" s="147">
        <v>2</v>
      </c>
      <c r="E12" s="147" t="s">
        <v>399</v>
      </c>
      <c r="F12" s="145"/>
      <c r="G12" s="147" t="s">
        <v>267</v>
      </c>
      <c r="H12" s="147" t="s">
        <v>519</v>
      </c>
      <c r="I12" s="147">
        <f>4*N3*(N12/I3)^2/(1+SQRT(1+(2*N21/(N20+N10))^2))</f>
        <v>7.1867941175820391</v>
      </c>
      <c r="J12" s="147" t="s">
        <v>399</v>
      </c>
      <c r="K12" s="145"/>
      <c r="L12" s="147" t="s">
        <v>288</v>
      </c>
      <c r="M12" s="147" t="s">
        <v>289</v>
      </c>
      <c r="N12" s="148">
        <v>120</v>
      </c>
      <c r="O12" s="147" t="s">
        <v>155</v>
      </c>
      <c r="P12" s="145"/>
      <c r="Q12" s="145" t="s">
        <v>476</v>
      </c>
      <c r="R12" s="145"/>
      <c r="S12" s="145" t="e">
        <f>S11-I9</f>
        <v>#REF!</v>
      </c>
      <c r="T12" s="145" t="s">
        <v>477</v>
      </c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6"/>
      <c r="AM12" s="144" t="s">
        <v>447</v>
      </c>
      <c r="AN12" s="145">
        <f>Y31*TAN(N18)</f>
        <v>2.5056192407130826</v>
      </c>
      <c r="AO12" s="145"/>
      <c r="AP12" s="162">
        <v>0.6</v>
      </c>
      <c r="AQ12" s="145">
        <f t="shared" si="3"/>
        <v>0.8</v>
      </c>
      <c r="AR12" s="145">
        <f t="shared" si="2"/>
        <v>2.0044953925704663</v>
      </c>
      <c r="AS12" s="145">
        <f t="shared" si="4"/>
        <v>3.931399203965467</v>
      </c>
      <c r="AT12" s="145">
        <f t="shared" si="5"/>
        <v>0.40089907851409329</v>
      </c>
      <c r="AU12" s="145">
        <f t="shared" si="0"/>
        <v>90.318777244975493</v>
      </c>
      <c r="AV12" s="163" t="e">
        <f t="shared" si="1"/>
        <v>#REF!</v>
      </c>
      <c r="AW12" s="145"/>
      <c r="AX12" s="145"/>
      <c r="AY12" s="146"/>
      <c r="BB12" s="144"/>
      <c r="BC12" s="145"/>
      <c r="BD12" s="145"/>
      <c r="BE12" s="145"/>
      <c r="BF12" s="146"/>
    </row>
    <row r="13" spans="1:58" ht="19.5" customHeight="1">
      <c r="A13" s="144"/>
      <c r="B13" s="147" t="s">
        <v>343</v>
      </c>
      <c r="C13" s="147" t="s">
        <v>520</v>
      </c>
      <c r="D13" s="147">
        <f>D12/2</f>
        <v>1</v>
      </c>
      <c r="E13" s="147"/>
      <c r="F13" s="145"/>
      <c r="G13" s="147" t="s">
        <v>270</v>
      </c>
      <c r="H13" s="147" t="s">
        <v>521</v>
      </c>
      <c r="I13" s="147">
        <f>1+I4/(N12+I4)</f>
        <v>1.3296089385474861</v>
      </c>
      <c r="J13" s="147"/>
      <c r="K13" s="145"/>
      <c r="L13" s="147" t="s">
        <v>365</v>
      </c>
      <c r="M13" s="147" t="s">
        <v>367</v>
      </c>
      <c r="N13" s="148">
        <v>50</v>
      </c>
      <c r="O13" s="147" t="s">
        <v>361</v>
      </c>
      <c r="P13" s="145"/>
      <c r="Q13" s="143" t="s">
        <v>529</v>
      </c>
      <c r="S13" s="186">
        <f>I9/I5</f>
        <v>9.9960096169528657E-4</v>
      </c>
      <c r="U13" s="145"/>
      <c r="V13" s="145"/>
      <c r="AF13" s="145"/>
      <c r="AG13" s="145"/>
      <c r="AH13" s="145"/>
      <c r="AI13" s="145"/>
      <c r="AJ13" s="146"/>
      <c r="AM13" s="144" t="s">
        <v>455</v>
      </c>
      <c r="AN13" s="145"/>
      <c r="AO13" s="145"/>
      <c r="AP13" s="162">
        <v>0.7</v>
      </c>
      <c r="AQ13" s="145">
        <f t="shared" si="3"/>
        <v>0.71414284285428498</v>
      </c>
      <c r="AR13" s="145">
        <f t="shared" si="2"/>
        <v>1.7893700476732357</v>
      </c>
      <c r="AS13" s="145">
        <f t="shared" si="4"/>
        <v>4.1545876492853093</v>
      </c>
      <c r="AT13" s="145">
        <f t="shared" si="5"/>
        <v>0.35787400953464715</v>
      </c>
      <c r="AU13" s="145">
        <f t="shared" si="0"/>
        <v>80.625635431062108</v>
      </c>
      <c r="AV13" s="163" t="e">
        <f t="shared" si="1"/>
        <v>#REF!</v>
      </c>
      <c r="AW13" s="145"/>
      <c r="AX13" s="145"/>
      <c r="AY13" s="146"/>
      <c r="BB13" s="247" t="s">
        <v>492</v>
      </c>
      <c r="BC13" s="248"/>
      <c r="BD13" s="145"/>
      <c r="BE13" s="248" t="s">
        <v>355</v>
      </c>
      <c r="BF13" s="252"/>
    </row>
    <row r="14" spans="1:58" ht="19.5" customHeight="1">
      <c r="A14" s="144"/>
      <c r="B14" s="147" t="s">
        <v>253</v>
      </c>
      <c r="C14" s="147" t="s">
        <v>523</v>
      </c>
      <c r="D14" s="147" t="e">
        <f>D7*D10</f>
        <v>#REF!</v>
      </c>
      <c r="E14" s="147" t="s">
        <v>155</v>
      </c>
      <c r="F14" s="145"/>
      <c r="G14" s="147" t="s">
        <v>271</v>
      </c>
      <c r="H14" s="147" t="s">
        <v>524</v>
      </c>
      <c r="I14" s="147">
        <f>I12*I13</f>
        <v>9.5556256982375718</v>
      </c>
      <c r="J14" s="147" t="s">
        <v>399</v>
      </c>
      <c r="K14" s="145"/>
      <c r="L14" s="147"/>
      <c r="M14" s="147"/>
      <c r="N14" s="147">
        <f>RADIANS(N13)</f>
        <v>0.87266462599716477</v>
      </c>
      <c r="O14" s="147" t="s">
        <v>291</v>
      </c>
      <c r="P14" s="145"/>
      <c r="Q14" s="145" t="s">
        <v>530</v>
      </c>
      <c r="R14" s="145"/>
      <c r="S14" s="187" t="e">
        <f>S11/I5</f>
        <v>#REF!</v>
      </c>
      <c r="T14" s="145"/>
      <c r="U14" s="145"/>
      <c r="V14" s="145"/>
      <c r="W14" s="145" t="s">
        <v>320</v>
      </c>
      <c r="AF14" s="145"/>
      <c r="AG14" s="249" t="s">
        <v>357</v>
      </c>
      <c r="AH14" s="250"/>
      <c r="AI14" s="251"/>
      <c r="AJ14" s="146"/>
      <c r="AM14" s="144"/>
      <c r="AN14" s="145"/>
      <c r="AO14" s="145"/>
      <c r="AP14" s="162">
        <v>0.8</v>
      </c>
      <c r="AQ14" s="145">
        <f t="shared" si="3"/>
        <v>0.59999999999999987</v>
      </c>
      <c r="AR14" s="145">
        <f t="shared" si="2"/>
        <v>1.5033715444278493</v>
      </c>
      <c r="AS14" s="145">
        <f t="shared" si="4"/>
        <v>4.493748321862908</v>
      </c>
      <c r="AT14" s="145">
        <f t="shared" si="5"/>
        <v>0.3006743088855699</v>
      </c>
      <c r="AU14" s="145">
        <f t="shared" si="0"/>
        <v>67.739082933731609</v>
      </c>
      <c r="AV14" s="163" t="e">
        <f t="shared" si="1"/>
        <v>#REF!</v>
      </c>
      <c r="AW14" s="145"/>
      <c r="AX14" s="145"/>
      <c r="AY14" s="146"/>
      <c r="BB14" s="144" t="s">
        <v>490</v>
      </c>
      <c r="BC14" s="145" t="s">
        <v>491</v>
      </c>
      <c r="BD14" s="145"/>
      <c r="BE14" s="145" t="s">
        <v>490</v>
      </c>
      <c r="BF14" s="146" t="s">
        <v>491</v>
      </c>
    </row>
    <row r="15" spans="1:58" ht="19.5" customHeight="1">
      <c r="A15" s="144"/>
      <c r="B15" s="145"/>
      <c r="C15" s="145"/>
      <c r="D15" s="145"/>
      <c r="E15" s="145"/>
      <c r="F15" s="145"/>
      <c r="G15" s="147" t="s">
        <v>345</v>
      </c>
      <c r="H15" s="147" t="s">
        <v>525</v>
      </c>
      <c r="I15" s="147">
        <f>I14/2</f>
        <v>4.7778128491187859</v>
      </c>
      <c r="J15" s="147"/>
      <c r="K15" s="145"/>
      <c r="L15" s="147" t="s">
        <v>366</v>
      </c>
      <c r="M15" s="147" t="s">
        <v>362</v>
      </c>
      <c r="N15" s="148">
        <v>35</v>
      </c>
      <c r="O15" s="147" t="s">
        <v>155</v>
      </c>
      <c r="P15" s="145"/>
      <c r="U15" s="145"/>
      <c r="V15" s="145"/>
      <c r="W15" s="145" t="s">
        <v>326</v>
      </c>
      <c r="AF15" s="145"/>
      <c r="AG15" s="240" t="s">
        <v>248</v>
      </c>
      <c r="AH15" s="170" t="s">
        <v>255</v>
      </c>
      <c r="AI15" s="171"/>
      <c r="AJ15" s="146"/>
      <c r="AM15" s="144"/>
      <c r="AN15" s="145"/>
      <c r="AO15" s="145"/>
      <c r="AP15" s="162">
        <v>0.9</v>
      </c>
      <c r="AQ15" s="145">
        <f t="shared" si="3"/>
        <v>0.43588989435406728</v>
      </c>
      <c r="AR15" s="145">
        <f t="shared" si="2"/>
        <v>1.0921741061259438</v>
      </c>
      <c r="AS15" s="145">
        <f t="shared" si="4"/>
        <v>5.0913271563349971</v>
      </c>
      <c r="AT15" s="145">
        <f t="shared" si="5"/>
        <v>0.21843482122518876</v>
      </c>
      <c r="AU15" s="145">
        <f t="shared" si="0"/>
        <v>49.211302839376117</v>
      </c>
      <c r="AV15" s="163" t="e">
        <f t="shared" si="1"/>
        <v>#REF!</v>
      </c>
      <c r="AW15" s="145"/>
      <c r="AX15" s="145"/>
      <c r="AY15" s="146"/>
      <c r="BB15" s="144" t="e">
        <f>D7</f>
        <v>#REF!</v>
      </c>
      <c r="BC15" s="145">
        <f>I4</f>
        <v>59</v>
      </c>
      <c r="BD15" s="145"/>
      <c r="BE15" s="145">
        <v>0</v>
      </c>
      <c r="BF15" s="146">
        <v>0</v>
      </c>
    </row>
    <row r="16" spans="1:58" ht="19.5" customHeight="1">
      <c r="A16" s="144"/>
      <c r="F16" s="145"/>
      <c r="G16" s="147" t="s">
        <v>274</v>
      </c>
      <c r="H16" s="147" t="s">
        <v>509</v>
      </c>
      <c r="I16" s="147" t="e">
        <f>N6+(N11*(N20+2*N10)/(3*(N20+N10)))+(N20+N10-(N20*N10/(N20+N10)))/6</f>
        <v>#REF!</v>
      </c>
      <c r="J16" s="147" t="s">
        <v>155</v>
      </c>
      <c r="K16" s="145"/>
      <c r="L16" s="147" t="s">
        <v>290</v>
      </c>
      <c r="M16" s="147" t="s">
        <v>360</v>
      </c>
      <c r="N16" s="149">
        <f>90-DEGREES(ATAN((N12-(N15/TAN(N14)))/(N10+N11-N9-N15)))</f>
        <v>18.315095804849378</v>
      </c>
      <c r="O16" s="147" t="s">
        <v>361</v>
      </c>
      <c r="P16" s="145"/>
      <c r="Q16" s="147" t="s">
        <v>481</v>
      </c>
      <c r="R16" s="147" t="s">
        <v>522</v>
      </c>
      <c r="S16" s="147" t="e">
        <f>Y9/2</f>
        <v>#REF!</v>
      </c>
      <c r="T16" s="145"/>
      <c r="U16" s="145"/>
      <c r="V16" s="145"/>
      <c r="W16" s="145"/>
      <c r="X16" s="145"/>
      <c r="Y16" s="145"/>
      <c r="AF16" s="145"/>
      <c r="AG16" s="253"/>
      <c r="AH16" s="145" t="s">
        <v>266</v>
      </c>
      <c r="AI16" s="163"/>
      <c r="AJ16" s="146"/>
      <c r="AM16" s="144"/>
      <c r="AN16" s="145"/>
      <c r="AO16" s="145"/>
      <c r="AP16" s="173">
        <v>1</v>
      </c>
      <c r="AQ16" s="174">
        <f t="shared" si="3"/>
        <v>0</v>
      </c>
      <c r="AR16" s="174">
        <f t="shared" si="2"/>
        <v>0</v>
      </c>
      <c r="AS16" s="174">
        <f>AVERAGE(AS15,AS17)</f>
        <v>5.0095312028432488</v>
      </c>
      <c r="AT16" s="174">
        <f>AVERAGE(AT15,AT17)</f>
        <v>0.29493872125273735</v>
      </c>
      <c r="AU16" s="174">
        <f t="shared" si="0"/>
        <v>66.446909193400529</v>
      </c>
      <c r="AV16" s="175" t="e">
        <f t="shared" si="1"/>
        <v>#REF!</v>
      </c>
      <c r="AW16" s="145" t="s">
        <v>460</v>
      </c>
      <c r="AX16" s="145"/>
      <c r="AY16" s="146"/>
      <c r="BB16" s="144" t="e">
        <f>I5-S4</f>
        <v>#REF!</v>
      </c>
      <c r="BC16" s="145">
        <f>BC15</f>
        <v>59</v>
      </c>
      <c r="BD16" s="145"/>
      <c r="BE16" s="145">
        <f>N9</f>
        <v>200</v>
      </c>
      <c r="BF16" s="146">
        <f>BF15</f>
        <v>0</v>
      </c>
    </row>
    <row r="17" spans="1:58" ht="19.5" customHeight="1">
      <c r="A17" s="144"/>
      <c r="F17" s="145"/>
      <c r="K17" s="145"/>
      <c r="L17" s="147"/>
      <c r="M17" s="147"/>
      <c r="N17" s="149">
        <f>RADIANS(_xlfn.FLOOR.MATH(N16*100)/100)</f>
        <v>0.31956978604016173</v>
      </c>
      <c r="O17" s="147" t="s">
        <v>291</v>
      </c>
      <c r="P17" s="145"/>
      <c r="Q17" s="167"/>
      <c r="R17" s="167"/>
      <c r="S17" s="167"/>
      <c r="T17" s="145"/>
      <c r="U17" s="145"/>
      <c r="V17" s="145"/>
      <c r="W17" s="249" t="s">
        <v>319</v>
      </c>
      <c r="X17" s="250"/>
      <c r="Y17" s="251"/>
      <c r="AF17" s="145"/>
      <c r="AG17" s="253"/>
      <c r="AH17" s="145" t="s">
        <v>358</v>
      </c>
      <c r="AI17" s="163"/>
      <c r="AJ17" s="146"/>
      <c r="AM17" s="144"/>
      <c r="AN17" s="145"/>
      <c r="AO17" s="145"/>
      <c r="AP17" s="162">
        <v>1.1000000000000001</v>
      </c>
      <c r="AQ17" s="145">
        <f t="shared" si="3"/>
        <v>0.45825756949558422</v>
      </c>
      <c r="AR17" s="145">
        <f t="shared" si="2"/>
        <v>1.1482189833305485</v>
      </c>
      <c r="AS17" s="145">
        <f t="shared" ref="AS17:AS56" si="6">IF(AR17&gt;=1,4/AQ17*(1-1/(2*AR17)),IF(AR17&gt;=0.5,4/(PI()*AQ17)*((2-1/(AR17))*ASIN(AR17)+(AR17-2)*ACOSH(1/AR17)+(1+1/AR17)*(1-AQ17^2*$AN$12^2)^0.5),0))</f>
        <v>4.9277352493514996</v>
      </c>
      <c r="AT17" s="145">
        <f t="shared" ref="AT17:AT56" si="7">0.5*(AR17-2/3)/(AR17-0.5)</f>
        <v>0.37144262128028599</v>
      </c>
      <c r="AU17" s="145">
        <f t="shared" si="0"/>
        <v>83.682515547424941</v>
      </c>
      <c r="AV17" s="163" t="e">
        <f t="shared" si="1"/>
        <v>#REF!</v>
      </c>
      <c r="AW17" s="145"/>
      <c r="AX17" s="145"/>
      <c r="AY17" s="146"/>
      <c r="BB17" s="144" t="e">
        <f>BB16</f>
        <v>#REF!</v>
      </c>
      <c r="BC17" s="145">
        <f>-BC16</f>
        <v>-59</v>
      </c>
      <c r="BD17" s="145"/>
      <c r="BE17" s="145">
        <f>BE16+N15</f>
        <v>235</v>
      </c>
      <c r="BF17" s="146">
        <f>BF16+N15*TAN(RADIANS((90-N13)))</f>
        <v>29.368487091204798</v>
      </c>
    </row>
    <row r="18" spans="1:58" ht="19.5" customHeight="1">
      <c r="A18" s="144"/>
      <c r="F18" s="145"/>
      <c r="K18" s="145"/>
      <c r="L18" s="147" t="s">
        <v>442</v>
      </c>
      <c r="M18" s="147" t="s">
        <v>458</v>
      </c>
      <c r="N18" s="147">
        <f>RADIANS(90)-ATAN(N12/N11)</f>
        <v>0.8794593980254346</v>
      </c>
      <c r="O18" s="147" t="s">
        <v>443</v>
      </c>
      <c r="P18" s="145"/>
      <c r="Q18" s="168" t="s">
        <v>248</v>
      </c>
      <c r="R18" s="168"/>
      <c r="S18" s="168"/>
      <c r="T18" s="145"/>
      <c r="U18" s="145"/>
      <c r="V18" s="145"/>
      <c r="W18" s="169" t="s">
        <v>249</v>
      </c>
      <c r="X18" s="170" t="s">
        <v>250</v>
      </c>
      <c r="Y18" s="171"/>
      <c r="AF18" s="145"/>
      <c r="AG18" s="253"/>
      <c r="AH18" s="145" t="s">
        <v>258</v>
      </c>
      <c r="AI18" s="163"/>
      <c r="AJ18" s="146"/>
      <c r="AM18" s="144"/>
      <c r="AN18" s="145"/>
      <c r="AO18" s="145"/>
      <c r="AP18" s="162">
        <v>1.2</v>
      </c>
      <c r="AQ18" s="145">
        <f t="shared" si="3"/>
        <v>0.66332495807107994</v>
      </c>
      <c r="AR18" s="145">
        <f t="shared" si="2"/>
        <v>1.6620397777880966</v>
      </c>
      <c r="AS18" s="145">
        <f t="shared" si="6"/>
        <v>4.2161226287859064</v>
      </c>
      <c r="AT18" s="145">
        <f t="shared" si="7"/>
        <v>0.42828702173005173</v>
      </c>
      <c r="AU18" s="145">
        <f t="shared" si="0"/>
        <v>96.489022264466669</v>
      </c>
      <c r="AV18" s="163" t="e">
        <f t="shared" si="1"/>
        <v>#REF!</v>
      </c>
      <c r="AW18" s="145"/>
      <c r="AX18" s="145"/>
      <c r="AY18" s="146"/>
      <c r="BB18" s="144" t="e">
        <f>BB15</f>
        <v>#REF!</v>
      </c>
      <c r="BC18" s="145">
        <f>BC17</f>
        <v>-59</v>
      </c>
      <c r="BD18" s="145"/>
      <c r="BE18" s="145">
        <f>N10+N11</f>
        <v>265</v>
      </c>
      <c r="BF18" s="146">
        <f>N12</f>
        <v>120</v>
      </c>
    </row>
    <row r="19" spans="1:58" ht="19.5" customHeight="1">
      <c r="A19" s="144"/>
      <c r="F19" s="145"/>
      <c r="G19" s="147" t="s">
        <v>531</v>
      </c>
      <c r="H19" s="147" t="s">
        <v>532</v>
      </c>
      <c r="I19" s="147">
        <v>224</v>
      </c>
      <c r="J19" s="147" t="s">
        <v>533</v>
      </c>
      <c r="K19" s="145"/>
      <c r="L19" s="243" t="s">
        <v>373</v>
      </c>
      <c r="M19" s="243"/>
      <c r="N19" s="243"/>
      <c r="O19" s="243"/>
      <c r="P19" s="145"/>
      <c r="Q19" s="172" t="s">
        <v>254</v>
      </c>
      <c r="R19" s="172" t="s">
        <v>482</v>
      </c>
      <c r="S19" s="172" t="e">
        <f>(S11-I8)/I3</f>
        <v>#REF!</v>
      </c>
      <c r="T19" s="145"/>
      <c r="U19" s="145"/>
      <c r="V19" s="145"/>
      <c r="W19" s="162">
        <v>1.6</v>
      </c>
      <c r="X19" s="145">
        <v>1.8</v>
      </c>
      <c r="Y19" s="163"/>
      <c r="AF19" s="145"/>
      <c r="AG19" s="253"/>
      <c r="AH19" s="145" t="s">
        <v>266</v>
      </c>
      <c r="AI19" s="163"/>
      <c r="AJ19" s="146"/>
      <c r="AM19" s="144"/>
      <c r="AN19" s="145"/>
      <c r="AO19" s="145"/>
      <c r="AP19" s="162">
        <v>1.3</v>
      </c>
      <c r="AQ19" s="145">
        <f t="shared" si="3"/>
        <v>0.83066238629180755</v>
      </c>
      <c r="AR19" s="145">
        <f t="shared" si="2"/>
        <v>2.0813236576293961</v>
      </c>
      <c r="AS19" s="145">
        <f t="shared" si="6"/>
        <v>3.658614013838708</v>
      </c>
      <c r="AT19" s="145">
        <f t="shared" si="7"/>
        <v>0.447301532528603</v>
      </c>
      <c r="AU19" s="145">
        <f t="shared" si="0"/>
        <v>100.77281201923948</v>
      </c>
      <c r="AV19" s="163" t="e">
        <f t="shared" si="1"/>
        <v>#REF!</v>
      </c>
      <c r="AW19" s="145"/>
      <c r="AX19" s="145"/>
      <c r="AY19" s="146"/>
      <c r="BB19" s="144" t="e">
        <f>BB15</f>
        <v>#REF!</v>
      </c>
      <c r="BC19" s="145">
        <f>BC15</f>
        <v>59</v>
      </c>
      <c r="BD19" s="145"/>
      <c r="BE19" s="145">
        <f>BE18-N10</f>
        <v>145</v>
      </c>
      <c r="BF19" s="146">
        <f>BF18</f>
        <v>120</v>
      </c>
    </row>
    <row r="20" spans="1:58" ht="19.5" customHeight="1">
      <c r="A20" s="144"/>
      <c r="F20" s="145"/>
      <c r="G20" s="145"/>
      <c r="H20" s="145"/>
      <c r="I20" s="145"/>
      <c r="J20" s="145"/>
      <c r="K20" s="145"/>
      <c r="L20" s="147" t="s">
        <v>369</v>
      </c>
      <c r="M20" s="147" t="s">
        <v>285</v>
      </c>
      <c r="N20" s="147">
        <f>(N10+N11)*(1-(N12/((N10+N11)/TAN(N17))))</f>
        <v>225.29055836131189</v>
      </c>
      <c r="O20" s="147" t="s">
        <v>155</v>
      </c>
      <c r="P20" s="145"/>
      <c r="Q20" s="172" t="s">
        <v>257</v>
      </c>
      <c r="R20" s="172" t="s">
        <v>483</v>
      </c>
      <c r="S20" s="172" t="e">
        <f>100*(S11-I8)/I5</f>
        <v>#REF!</v>
      </c>
      <c r="T20" s="145"/>
      <c r="U20" s="145"/>
      <c r="V20" s="145"/>
      <c r="W20" s="162">
        <v>14</v>
      </c>
      <c r="X20" s="145">
        <v>16</v>
      </c>
      <c r="Y20" s="163"/>
      <c r="AF20" s="145"/>
      <c r="AG20" s="253"/>
      <c r="AH20" s="145" t="s">
        <v>358</v>
      </c>
      <c r="AI20" s="163"/>
      <c r="AJ20" s="146"/>
      <c r="AM20" s="144"/>
      <c r="AN20" s="145"/>
      <c r="AO20" s="145"/>
      <c r="AP20" s="162">
        <v>1.4</v>
      </c>
      <c r="AQ20" s="145">
        <f t="shared" si="3"/>
        <v>0.97979589711327109</v>
      </c>
      <c r="AR20" s="145">
        <f t="shared" si="2"/>
        <v>2.454995451778748</v>
      </c>
      <c r="AS20" s="145">
        <f t="shared" si="6"/>
        <v>3.2510184508693376</v>
      </c>
      <c r="AT20" s="145">
        <f t="shared" si="7"/>
        <v>0.45737415488229777</v>
      </c>
      <c r="AU20" s="145">
        <f t="shared" si="0"/>
        <v>103.04207873346601</v>
      </c>
      <c r="AV20" s="163" t="e">
        <f t="shared" si="1"/>
        <v>#REF!</v>
      </c>
      <c r="AW20" s="145"/>
      <c r="AX20" s="145"/>
      <c r="AY20" s="146"/>
      <c r="BB20" s="144"/>
      <c r="BC20" s="145"/>
      <c r="BD20" s="145"/>
      <c r="BE20" s="145">
        <f>BE15</f>
        <v>0</v>
      </c>
      <c r="BF20" s="146">
        <f>BF15</f>
        <v>0</v>
      </c>
    </row>
    <row r="21" spans="1:58" ht="19.5" customHeight="1">
      <c r="A21" s="144"/>
      <c r="F21" s="145"/>
      <c r="K21" s="145"/>
      <c r="L21" s="147"/>
      <c r="M21" s="147" t="s">
        <v>292</v>
      </c>
      <c r="N21" s="149">
        <f>SQRT(((N9/2)-((N10/2)-N12*TAN(N17)))^2+N12^2)</f>
        <v>144.06108109531675</v>
      </c>
      <c r="O21" s="147" t="s">
        <v>155</v>
      </c>
      <c r="P21" s="145"/>
      <c r="Q21" s="167"/>
      <c r="R21" s="167"/>
      <c r="S21" s="167"/>
      <c r="T21" s="145"/>
      <c r="U21" s="145"/>
      <c r="V21" s="145"/>
      <c r="W21" s="162"/>
      <c r="X21" s="145"/>
      <c r="Y21" s="163"/>
      <c r="AF21" s="145"/>
      <c r="AG21" s="162"/>
      <c r="AH21" s="145"/>
      <c r="AI21" s="163"/>
      <c r="AJ21" s="146"/>
      <c r="AM21" s="144"/>
      <c r="AN21" s="145"/>
      <c r="AO21" s="145"/>
      <c r="AP21" s="162">
        <v>1.5</v>
      </c>
      <c r="AQ21" s="145">
        <f t="shared" si="3"/>
        <v>1.1180339887498949</v>
      </c>
      <c r="AR21" s="145">
        <f t="shared" si="2"/>
        <v>2.8013674739829306</v>
      </c>
      <c r="AS21" s="145">
        <f t="shared" si="6"/>
        <v>2.9391440635048465</v>
      </c>
      <c r="AT21" s="145">
        <f t="shared" si="7"/>
        <v>0.46378964495004793</v>
      </c>
      <c r="AU21" s="145">
        <f t="shared" si="0"/>
        <v>104.48742807299089</v>
      </c>
      <c r="AV21" s="163" t="e">
        <f t="shared" si="1"/>
        <v>#REF!</v>
      </c>
      <c r="AW21" s="145"/>
      <c r="AX21" s="145"/>
      <c r="AY21" s="146"/>
      <c r="BB21" s="247" t="s">
        <v>493</v>
      </c>
      <c r="BC21" s="248"/>
      <c r="BD21" s="145"/>
      <c r="BE21" s="145"/>
      <c r="BF21" s="146"/>
    </row>
    <row r="22" spans="1:58" ht="19.5" customHeight="1">
      <c r="A22" s="144"/>
      <c r="F22" s="145"/>
      <c r="K22" s="145"/>
      <c r="L22" s="145"/>
      <c r="M22" s="145"/>
      <c r="N22" s="145"/>
      <c r="O22" s="145"/>
      <c r="P22" s="145"/>
      <c r="Q22" s="168" t="s">
        <v>277</v>
      </c>
      <c r="R22" s="168"/>
      <c r="S22" s="168"/>
      <c r="T22" s="145"/>
      <c r="U22" s="145"/>
      <c r="V22" s="145"/>
      <c r="W22" s="162"/>
      <c r="X22" s="145"/>
      <c r="Y22" s="163"/>
      <c r="AF22" s="145"/>
      <c r="AG22" s="253" t="s">
        <v>277</v>
      </c>
      <c r="AH22" s="145" t="s">
        <v>255</v>
      </c>
      <c r="AI22" s="163">
        <v>1.3</v>
      </c>
      <c r="AJ22" s="146"/>
      <c r="AM22" s="144"/>
      <c r="AN22" s="145"/>
      <c r="AO22" s="145"/>
      <c r="AP22" s="162">
        <v>1.6</v>
      </c>
      <c r="AQ22" s="145">
        <f t="shared" si="3"/>
        <v>1.2489995996796799</v>
      </c>
      <c r="AR22" s="145">
        <f t="shared" si="2"/>
        <v>3.1295174286003435</v>
      </c>
      <c r="AS22" s="145">
        <f t="shared" si="6"/>
        <v>2.6908926430129467</v>
      </c>
      <c r="AT22" s="145">
        <f t="shared" si="7"/>
        <v>0.46830850694239723</v>
      </c>
      <c r="AU22" s="145">
        <f t="shared" si="0"/>
        <v>105.50548501440498</v>
      </c>
      <c r="AV22" s="163" t="e">
        <f t="shared" si="1"/>
        <v>#REF!</v>
      </c>
      <c r="AW22" s="145"/>
      <c r="AX22" s="145"/>
      <c r="AY22" s="146"/>
      <c r="BB22" s="144" t="s">
        <v>494</v>
      </c>
      <c r="BC22" s="145" t="s">
        <v>495</v>
      </c>
      <c r="BD22" s="145"/>
      <c r="BE22" s="145"/>
      <c r="BF22" s="146"/>
    </row>
    <row r="23" spans="1:58" ht="19.5" customHeight="1">
      <c r="A23" s="144"/>
      <c r="F23" s="145"/>
      <c r="K23" s="145"/>
      <c r="L23" s="145"/>
      <c r="M23" s="145"/>
      <c r="N23" s="145"/>
      <c r="O23" s="145"/>
      <c r="P23" s="145"/>
      <c r="Q23" s="172" t="s">
        <v>317</v>
      </c>
      <c r="R23" s="172" t="s">
        <v>484</v>
      </c>
      <c r="S23" s="172" t="e">
        <f>(S11-I9)/I3</f>
        <v>#REF!</v>
      </c>
      <c r="T23" s="145">
        <v>1.3</v>
      </c>
      <c r="U23" s="145">
        <v>1.7</v>
      </c>
      <c r="V23" s="145"/>
      <c r="W23" s="162">
        <v>1.5</v>
      </c>
      <c r="X23" s="145" t="s">
        <v>281</v>
      </c>
      <c r="Y23" s="163"/>
      <c r="AF23" s="145"/>
      <c r="AG23" s="253"/>
      <c r="AH23" s="145" t="s">
        <v>266</v>
      </c>
      <c r="AI23" s="163" t="e">
        <f>-(AI22*$I$3-$Y$7)</f>
        <v>#REF!</v>
      </c>
      <c r="AJ23" s="146"/>
      <c r="AM23" s="144"/>
      <c r="AN23" s="145"/>
      <c r="AO23" s="145"/>
      <c r="AP23" s="162">
        <v>1.7</v>
      </c>
      <c r="AQ23" s="145">
        <f t="shared" si="3"/>
        <v>1.3747727084867518</v>
      </c>
      <c r="AR23" s="145">
        <f t="shared" si="2"/>
        <v>3.4446569499916433</v>
      </c>
      <c r="AS23" s="145">
        <f t="shared" si="6"/>
        <v>2.4872407186923216</v>
      </c>
      <c r="AT23" s="145">
        <f t="shared" si="7"/>
        <v>0.47170015565528955</v>
      </c>
      <c r="AU23" s="145">
        <f t="shared" si="0"/>
        <v>106.26959144669792</v>
      </c>
      <c r="AV23" s="163" t="e">
        <f t="shared" si="1"/>
        <v>#REF!</v>
      </c>
      <c r="AW23" s="145"/>
      <c r="AX23" s="145"/>
      <c r="AY23" s="146"/>
      <c r="BB23" s="144" t="e">
        <f>BB16</f>
        <v>#REF!</v>
      </c>
      <c r="BC23" s="145">
        <f>BC16</f>
        <v>59</v>
      </c>
      <c r="BD23" s="145"/>
      <c r="BE23" s="248" t="s">
        <v>496</v>
      </c>
      <c r="BF23" s="252"/>
    </row>
    <row r="24" spans="1:58" ht="19.5" customHeight="1">
      <c r="A24" s="144"/>
      <c r="F24" s="145"/>
      <c r="K24" s="145"/>
      <c r="L24" s="145"/>
      <c r="M24" s="145"/>
      <c r="N24" s="145"/>
      <c r="O24" s="145"/>
      <c r="P24" s="145"/>
      <c r="Q24" s="172" t="s">
        <v>318</v>
      </c>
      <c r="R24" s="172" t="s">
        <v>485</v>
      </c>
      <c r="S24" s="172" t="e">
        <f>(S11-I9)/I5*100</f>
        <v>#REF!</v>
      </c>
      <c r="T24" s="145">
        <v>12</v>
      </c>
      <c r="U24" s="145">
        <v>15</v>
      </c>
      <c r="V24" s="145"/>
      <c r="W24" s="153">
        <v>10.6</v>
      </c>
      <c r="X24" s="154" t="s">
        <v>283</v>
      </c>
      <c r="Y24" s="155"/>
      <c r="AF24" s="145"/>
      <c r="AG24" s="253"/>
      <c r="AH24" s="145" t="s">
        <v>358</v>
      </c>
      <c r="AI24" s="163" t="e">
        <f>$I$9-AI23</f>
        <v>#REF!</v>
      </c>
      <c r="AJ24" s="146"/>
      <c r="AM24" s="144"/>
      <c r="AN24" s="145"/>
      <c r="AO24" s="145"/>
      <c r="AP24" s="162">
        <v>1.8</v>
      </c>
      <c r="AQ24" s="145">
        <f t="shared" si="3"/>
        <v>1.4966629547095767</v>
      </c>
      <c r="AR24" s="145">
        <f t="shared" si="2"/>
        <v>3.7500674961828082</v>
      </c>
      <c r="AS24" s="145">
        <f t="shared" si="6"/>
        <v>2.3162705103659755</v>
      </c>
      <c r="AT24" s="145">
        <f t="shared" si="7"/>
        <v>0.47435950686217809</v>
      </c>
      <c r="AU24" s="145">
        <f t="shared" si="0"/>
        <v>106.86871816497667</v>
      </c>
      <c r="AV24" s="163" t="e">
        <f t="shared" si="1"/>
        <v>#REF!</v>
      </c>
      <c r="AW24" s="145"/>
      <c r="AX24" s="145"/>
      <c r="AY24" s="146"/>
      <c r="BB24" s="144" t="e">
        <f>BB23+S4</f>
        <v>#REF!</v>
      </c>
      <c r="BC24" s="145" t="e">
        <f>S3/2</f>
        <v>#REF!</v>
      </c>
      <c r="BD24" s="145"/>
      <c r="BE24" s="145" t="s">
        <v>497</v>
      </c>
      <c r="BF24" s="146" t="s">
        <v>498</v>
      </c>
    </row>
    <row r="25" spans="1:58" ht="19.5" customHeight="1">
      <c r="A25" s="144"/>
      <c r="F25" s="145"/>
      <c r="K25" s="145"/>
      <c r="L25" s="145"/>
      <c r="M25" s="145"/>
      <c r="N25" s="145"/>
      <c r="O25" s="145"/>
      <c r="P25" s="145"/>
      <c r="Q25" s="167" t="s">
        <v>346</v>
      </c>
      <c r="R25" s="167" t="s">
        <v>526</v>
      </c>
      <c r="S25" s="167" t="e">
        <f>2*$S$16*S24/100</f>
        <v>#REF!</v>
      </c>
      <c r="T25" s="145"/>
      <c r="U25" s="145"/>
      <c r="V25" s="145"/>
      <c r="W25" s="145"/>
      <c r="X25" s="145"/>
      <c r="Y25" s="145"/>
      <c r="AF25" s="145"/>
      <c r="AG25" s="253"/>
      <c r="AH25" s="145" t="s">
        <v>258</v>
      </c>
      <c r="AI25" s="163">
        <v>12</v>
      </c>
      <c r="AJ25" s="146"/>
      <c r="AM25" s="144"/>
      <c r="AN25" s="145"/>
      <c r="AO25" s="145"/>
      <c r="AP25" s="162">
        <v>1.9</v>
      </c>
      <c r="AQ25" s="145">
        <f t="shared" si="3"/>
        <v>1.6155494421403511</v>
      </c>
      <c r="AR25" s="145">
        <f t="shared" si="2"/>
        <v>4.0479517665501508</v>
      </c>
      <c r="AS25" s="145">
        <f t="shared" si="6"/>
        <v>2.1701118363765839</v>
      </c>
      <c r="AT25" s="145">
        <f t="shared" si="7"/>
        <v>0.47651226994712997</v>
      </c>
      <c r="AU25" s="145">
        <f t="shared" si="0"/>
        <v>107.3537153624051</v>
      </c>
      <c r="AV25" s="163" t="e">
        <f t="shared" si="1"/>
        <v>#REF!</v>
      </c>
      <c r="AW25" s="145"/>
      <c r="AX25" s="145"/>
      <c r="AY25" s="146"/>
      <c r="BB25" s="144" t="e">
        <f>BB24</f>
        <v>#REF!</v>
      </c>
      <c r="BC25" s="145" t="e">
        <f>-BC24</f>
        <v>#REF!</v>
      </c>
      <c r="BD25" s="145"/>
      <c r="BE25" s="145">
        <v>0</v>
      </c>
      <c r="BF25" s="146">
        <v>0</v>
      </c>
    </row>
    <row r="26" spans="1:58" ht="19.5" customHeight="1">
      <c r="A26" s="144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67" t="s">
        <v>347</v>
      </c>
      <c r="R26" s="167" t="s">
        <v>527</v>
      </c>
      <c r="S26" s="167" t="e">
        <f>-4*(($D$13*(($D$14-$I9)/$I$5)^2)+($S$8*(($S$9-$I9)/$I$5)^2)+($I$15*(($I$16-$I9)/$I$5)^2))</f>
        <v>#REF!</v>
      </c>
      <c r="T26" s="145"/>
      <c r="U26" s="145"/>
      <c r="V26" s="145"/>
      <c r="W26" s="145"/>
      <c r="X26" s="145"/>
      <c r="Y26" s="145"/>
      <c r="AF26" s="145"/>
      <c r="AG26" s="253"/>
      <c r="AH26" s="145" t="s">
        <v>266</v>
      </c>
      <c r="AI26" s="163" t="e">
        <f>-(AI25/100*$I$5-$Y$7)</f>
        <v>#REF!</v>
      </c>
      <c r="AJ26" s="146"/>
      <c r="AM26" s="144"/>
      <c r="AN26" s="145"/>
      <c r="AO26" s="145"/>
      <c r="AP26" s="162">
        <v>2</v>
      </c>
      <c r="AQ26" s="145">
        <f t="shared" si="3"/>
        <v>1.7320508075688772</v>
      </c>
      <c r="AR26" s="145">
        <f t="shared" si="2"/>
        <v>4.3398598293372119</v>
      </c>
      <c r="AS26" s="145">
        <f t="shared" si="6"/>
        <v>2.0433324515523297</v>
      </c>
      <c r="AT26" s="145">
        <f t="shared" si="7"/>
        <v>0.47829781892123985</v>
      </c>
      <c r="AU26" s="145">
        <f t="shared" si="0"/>
        <v>107.75598268776378</v>
      </c>
      <c r="AV26" s="163" t="e">
        <f t="shared" si="1"/>
        <v>#REF!</v>
      </c>
      <c r="AW26" s="145"/>
      <c r="AX26" s="145"/>
      <c r="AY26" s="146"/>
      <c r="BB26" s="144" t="e">
        <f>BB23</f>
        <v>#REF!</v>
      </c>
      <c r="BC26" s="145">
        <f>-BC23</f>
        <v>-59</v>
      </c>
      <c r="BD26" s="145"/>
      <c r="BE26" s="145">
        <f>I4</f>
        <v>59</v>
      </c>
      <c r="BF26" s="146">
        <f>-I4*TAN(N18)</f>
        <v>-71.291666666666657</v>
      </c>
    </row>
    <row r="27" spans="1:58" ht="19.5" customHeight="1">
      <c r="A27" s="144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 t="s">
        <v>464</v>
      </c>
      <c r="X27" s="145"/>
      <c r="Y27" s="145"/>
      <c r="Z27" s="145"/>
      <c r="AF27" s="145"/>
      <c r="AG27" s="253"/>
      <c r="AH27" s="145" t="s">
        <v>358</v>
      </c>
      <c r="AI27" s="163" t="e">
        <f>$I$9-AI26</f>
        <v>#REF!</v>
      </c>
      <c r="AJ27" s="146"/>
      <c r="AM27" s="144"/>
      <c r="AN27" s="145"/>
      <c r="AO27" s="145"/>
      <c r="AP27" s="162">
        <v>2.1</v>
      </c>
      <c r="AQ27" s="145">
        <f t="shared" si="3"/>
        <v>1.8466185312619388</v>
      </c>
      <c r="AR27" s="145">
        <f t="shared" si="2"/>
        <v>4.626922922187247</v>
      </c>
      <c r="AS27" s="145">
        <f t="shared" si="6"/>
        <v>1.9320434749059336</v>
      </c>
      <c r="AT27" s="145">
        <f t="shared" si="7"/>
        <v>0.47980739284339069</v>
      </c>
      <c r="AU27" s="145">
        <f t="shared" si="0"/>
        <v>108.09607543957281</v>
      </c>
      <c r="AV27" s="163" t="e">
        <f t="shared" si="1"/>
        <v>#REF!</v>
      </c>
      <c r="AW27" s="145"/>
      <c r="AX27" s="145"/>
      <c r="AY27" s="146"/>
      <c r="BB27" s="144" t="e">
        <f>BB23</f>
        <v>#REF!</v>
      </c>
      <c r="BC27" s="145">
        <f>BC23</f>
        <v>59</v>
      </c>
      <c r="BD27" s="145"/>
      <c r="BE27" s="145">
        <f>BE26+N12</f>
        <v>179</v>
      </c>
      <c r="BF27" s="146">
        <f>BF26-N11</f>
        <v>-216.29166666666666</v>
      </c>
    </row>
    <row r="28" spans="1:58" ht="19.5" customHeight="1">
      <c r="A28" s="144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68" t="s">
        <v>293</v>
      </c>
      <c r="R28" s="168"/>
      <c r="S28" s="168"/>
      <c r="T28" s="145"/>
      <c r="U28" s="145"/>
      <c r="V28" s="145"/>
      <c r="W28" s="143" t="s">
        <v>450</v>
      </c>
      <c r="X28" s="143" t="s">
        <v>449</v>
      </c>
      <c r="Y28" s="143">
        <f>N10</f>
        <v>120</v>
      </c>
      <c r="AF28" s="145"/>
      <c r="AG28" s="162"/>
      <c r="AH28" s="145"/>
      <c r="AI28" s="163"/>
      <c r="AJ28" s="146"/>
      <c r="AM28" s="144"/>
      <c r="AN28" s="145"/>
      <c r="AO28" s="145"/>
      <c r="AP28" s="162">
        <v>2.2000000000000002</v>
      </c>
      <c r="AQ28" s="145">
        <f t="shared" si="3"/>
        <v>1.9595917942265426</v>
      </c>
      <c r="AR28" s="145">
        <f t="shared" si="2"/>
        <v>4.9099909035574969</v>
      </c>
      <c r="AS28" s="145">
        <f t="shared" si="6"/>
        <v>1.8333753388769918</v>
      </c>
      <c r="AT28" s="145">
        <f t="shared" si="7"/>
        <v>0.48110351355461772</v>
      </c>
      <c r="AU28" s="145">
        <f t="shared" si="0"/>
        <v>108.38807919830882</v>
      </c>
      <c r="AV28" s="163" t="e">
        <f t="shared" si="1"/>
        <v>#REF!</v>
      </c>
      <c r="AW28" s="145"/>
      <c r="AX28" s="145"/>
      <c r="AY28" s="146"/>
      <c r="BB28" s="144"/>
      <c r="BC28" s="145"/>
      <c r="BD28" s="145"/>
      <c r="BE28" s="145">
        <f>BE27</f>
        <v>179</v>
      </c>
      <c r="BF28" s="146">
        <f>BF27-N10</f>
        <v>-336.29166666666663</v>
      </c>
    </row>
    <row r="29" spans="1:58" ht="19.5" customHeight="1">
      <c r="A29" s="144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72" t="s">
        <v>317</v>
      </c>
      <c r="R29" s="172" t="s">
        <v>484</v>
      </c>
      <c r="S29" s="172" t="e">
        <f>(S11-I10)/I3</f>
        <v>#REF!</v>
      </c>
      <c r="T29" s="145">
        <v>1.2</v>
      </c>
      <c r="U29" s="145" t="s">
        <v>283</v>
      </c>
      <c r="V29" s="145"/>
      <c r="W29" s="143" t="s">
        <v>451</v>
      </c>
      <c r="X29" s="143" t="s">
        <v>448</v>
      </c>
      <c r="Y29" s="143">
        <f>N20</f>
        <v>225.29055836131189</v>
      </c>
      <c r="AF29" s="145"/>
      <c r="AG29" s="253" t="s">
        <v>359</v>
      </c>
      <c r="AH29" s="145" t="s">
        <v>255</v>
      </c>
      <c r="AI29" s="163">
        <v>1.2</v>
      </c>
      <c r="AJ29" s="146"/>
      <c r="AM29" s="144"/>
      <c r="AN29" s="145"/>
      <c r="AO29" s="145"/>
      <c r="AP29" s="162">
        <v>2.2999999999999998</v>
      </c>
      <c r="AQ29" s="145">
        <f t="shared" si="3"/>
        <v>2.0712315177207978</v>
      </c>
      <c r="AR29" s="145">
        <f t="shared" si="2"/>
        <v>5.1897175427725912</v>
      </c>
      <c r="AS29" s="145">
        <f t="shared" si="6"/>
        <v>1.7451562226724173</v>
      </c>
      <c r="AT29" s="145">
        <f t="shared" si="7"/>
        <v>0.48223062848171744</v>
      </c>
      <c r="AU29" s="145">
        <f t="shared" si="0"/>
        <v>108.64200754957248</v>
      </c>
      <c r="AV29" s="163" t="e">
        <f t="shared" si="1"/>
        <v>#REF!</v>
      </c>
      <c r="AW29" s="145"/>
      <c r="AX29" s="145"/>
      <c r="AY29" s="146"/>
      <c r="BB29" s="247" t="s">
        <v>499</v>
      </c>
      <c r="BC29" s="248"/>
      <c r="BD29" s="145"/>
      <c r="BE29" s="145">
        <f>BE28-(N12-N15*TAN(RADIANS(90)-N14))</f>
        <v>88.368487091204798</v>
      </c>
      <c r="BF29" s="146">
        <f>-(N9+N15+I4*TAN(N18))</f>
        <v>-306.29166666666663</v>
      </c>
    </row>
    <row r="30" spans="1:58" ht="19.5" customHeight="1">
      <c r="A30" s="144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72" t="s">
        <v>318</v>
      </c>
      <c r="R30" s="172" t="s">
        <v>485</v>
      </c>
      <c r="S30" s="172" t="e">
        <f>(S11-I10)/I5*100</f>
        <v>#REF!</v>
      </c>
      <c r="T30" s="145">
        <v>11</v>
      </c>
      <c r="U30" s="145" t="s">
        <v>283</v>
      </c>
      <c r="V30" s="145"/>
      <c r="W30" s="145" t="s">
        <v>397</v>
      </c>
      <c r="X30" s="145" t="s">
        <v>379</v>
      </c>
      <c r="Y30" s="167">
        <f>(N12+I4)*Y29*(1+Y33)</f>
        <v>61807.009946674822</v>
      </c>
      <c r="Z30" s="145" t="s">
        <v>154</v>
      </c>
      <c r="AA30" s="145"/>
      <c r="AB30" s="145"/>
      <c r="AF30" s="145"/>
      <c r="AG30" s="253"/>
      <c r="AH30" s="145" t="s">
        <v>266</v>
      </c>
      <c r="AI30" s="163" t="e">
        <f>-(AI29*$I$3-$Y$7)</f>
        <v>#REF!</v>
      </c>
      <c r="AJ30" s="146"/>
      <c r="AM30" s="144"/>
      <c r="AN30" s="145"/>
      <c r="AO30" s="145"/>
      <c r="AP30" s="162">
        <v>2.4</v>
      </c>
      <c r="AQ30" s="145">
        <f t="shared" si="3"/>
        <v>2.1817424229271429</v>
      </c>
      <c r="AR30" s="145">
        <f t="shared" si="2"/>
        <v>5.4666157931662287</v>
      </c>
      <c r="AS30" s="145">
        <f t="shared" si="6"/>
        <v>1.6657066840525314</v>
      </c>
      <c r="AT30" s="145">
        <f t="shared" si="7"/>
        <v>0.48322130464611429</v>
      </c>
      <c r="AU30" s="145">
        <f t="shared" si="0"/>
        <v>108.86519753580468</v>
      </c>
      <c r="AV30" s="163" t="e">
        <f t="shared" si="1"/>
        <v>#REF!</v>
      </c>
      <c r="AW30" s="145"/>
      <c r="AX30" s="145"/>
      <c r="AY30" s="146"/>
      <c r="BB30" s="144" t="s">
        <v>500</v>
      </c>
      <c r="BC30" s="145" t="s">
        <v>501</v>
      </c>
      <c r="BD30" s="145"/>
      <c r="BE30" s="145">
        <f>BE29-N15*TAN(RADIANS(90)-N14)</f>
        <v>59</v>
      </c>
      <c r="BF30" s="146">
        <f>BF29+N15</f>
        <v>-271.29166666666663</v>
      </c>
    </row>
    <row r="31" spans="1:58" ht="19.5" customHeight="1">
      <c r="A31" s="144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67" t="s">
        <v>346</v>
      </c>
      <c r="R31" s="167" t="s">
        <v>526</v>
      </c>
      <c r="S31" s="167" t="e">
        <f>2*$S$16*S30/100</f>
        <v>#REF!</v>
      </c>
      <c r="T31" s="145"/>
      <c r="U31" s="145"/>
      <c r="V31" s="145"/>
      <c r="W31" s="145" t="s">
        <v>378</v>
      </c>
      <c r="X31" s="145" t="s">
        <v>381</v>
      </c>
      <c r="Y31" s="145">
        <f>4*(N12+I4)/(Y29*(1+Y33))</f>
        <v>2.0736159233487581</v>
      </c>
      <c r="Z31" s="145"/>
      <c r="AA31" s="145"/>
      <c r="AB31" s="145"/>
      <c r="AF31" s="145"/>
      <c r="AG31" s="253"/>
      <c r="AH31" s="145" t="s">
        <v>358</v>
      </c>
      <c r="AI31" s="163" t="e">
        <f>$I$10-AI30</f>
        <v>#REF!</v>
      </c>
      <c r="AJ31" s="146"/>
      <c r="AM31" s="144"/>
      <c r="AN31" s="145"/>
      <c r="AO31" s="145"/>
      <c r="AP31" s="162">
        <v>2.5</v>
      </c>
      <c r="AQ31" s="145">
        <f t="shared" si="3"/>
        <v>2.2912878474779199</v>
      </c>
      <c r="AR31" s="145">
        <f t="shared" si="2"/>
        <v>5.741094916652739</v>
      </c>
      <c r="AS31" s="145">
        <f t="shared" si="6"/>
        <v>1.5937039074844113</v>
      </c>
      <c r="AT31" s="145">
        <f t="shared" si="7"/>
        <v>0.48410001447053452</v>
      </c>
      <c r="AU31" s="145">
        <f t="shared" si="0"/>
        <v>109.06316256278589</v>
      </c>
      <c r="AV31" s="163" t="e">
        <f t="shared" si="1"/>
        <v>#REF!</v>
      </c>
      <c r="AW31" s="145"/>
      <c r="AX31" s="145"/>
      <c r="AY31" s="146"/>
      <c r="BB31" s="144" t="e">
        <f t="shared" ref="BB31:BB36" si="8">BE15+$N$6</f>
        <v>#REF!</v>
      </c>
      <c r="BC31" s="145">
        <f t="shared" ref="BC31:BC36" si="9">BF15+$I$4</f>
        <v>59</v>
      </c>
      <c r="BD31" s="145"/>
      <c r="BE31" s="145">
        <v>0</v>
      </c>
      <c r="BF31" s="146">
        <f>BF30</f>
        <v>-271.29166666666663</v>
      </c>
    </row>
    <row r="32" spans="1:58" ht="19.5" customHeight="1">
      <c r="A32" s="144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67" t="s">
        <v>347</v>
      </c>
      <c r="R32" s="167" t="s">
        <v>527</v>
      </c>
      <c r="S32" s="167" t="e">
        <f>-4*(($D$13*(($D$14-$I10)/$I$5)^2)+($S$8*(($S$9-$I10)/$I$5)^2)+($I$15*(($I$16-$I10)/$I$5)^2))</f>
        <v>#REF!</v>
      </c>
      <c r="T32" s="145"/>
      <c r="U32" s="145"/>
      <c r="V32" s="145"/>
      <c r="W32" s="145" t="s">
        <v>392</v>
      </c>
      <c r="X32" s="145" t="s">
        <v>393</v>
      </c>
      <c r="Y32" s="145">
        <f>0.8*Y31</f>
        <v>1.6588927386790067</v>
      </c>
      <c r="Z32" s="145"/>
      <c r="AA32" s="145"/>
      <c r="AB32" s="145"/>
      <c r="AF32" s="145"/>
      <c r="AG32" s="253"/>
      <c r="AH32" s="145" t="s">
        <v>258</v>
      </c>
      <c r="AI32" s="163">
        <v>11</v>
      </c>
      <c r="AJ32" s="146"/>
      <c r="AM32" s="144"/>
      <c r="AN32" s="145"/>
      <c r="AO32" s="145"/>
      <c r="AP32" s="162">
        <v>2.6</v>
      </c>
      <c r="AQ32" s="145">
        <f t="shared" si="3"/>
        <v>2.4000000000000004</v>
      </c>
      <c r="AR32" s="145">
        <f t="shared" si="2"/>
        <v>6.0134861777113988</v>
      </c>
      <c r="AS32" s="145">
        <f t="shared" si="6"/>
        <v>1.5280892577051177</v>
      </c>
      <c r="AT32" s="145">
        <f t="shared" si="7"/>
        <v>0.48488554597811206</v>
      </c>
      <c r="AU32" s="145">
        <f t="shared" si="0"/>
        <v>109.24013539473845</v>
      </c>
      <c r="AV32" s="163" t="e">
        <f t="shared" si="1"/>
        <v>#REF!</v>
      </c>
      <c r="AW32" s="145"/>
      <c r="AX32" s="145"/>
      <c r="AY32" s="146"/>
      <c r="BB32" s="144" t="e">
        <f t="shared" si="8"/>
        <v>#REF!</v>
      </c>
      <c r="BC32" s="145">
        <f t="shared" si="9"/>
        <v>59</v>
      </c>
      <c r="BD32" s="145"/>
      <c r="BE32" s="145">
        <f>-BE30</f>
        <v>-59</v>
      </c>
      <c r="BF32" s="146">
        <f>BF30</f>
        <v>-271.29166666666663</v>
      </c>
    </row>
    <row r="33" spans="1:58" ht="19.5" customHeight="1">
      <c r="A33" s="144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 t="s">
        <v>380</v>
      </c>
      <c r="X33" s="145" t="s">
        <v>387</v>
      </c>
      <c r="Y33" s="145">
        <f>Y28/Y29</f>
        <v>0.53264549066254629</v>
      </c>
      <c r="Z33" s="145"/>
      <c r="AA33" s="145"/>
      <c r="AB33" s="145"/>
      <c r="AF33" s="145"/>
      <c r="AG33" s="253"/>
      <c r="AH33" s="145" t="s">
        <v>266</v>
      </c>
      <c r="AI33" s="163" t="e">
        <f>-(AI32/100*$I$5-$Y$7)</f>
        <v>#REF!</v>
      </c>
      <c r="AJ33" s="146"/>
      <c r="AM33" s="144"/>
      <c r="AN33" s="145"/>
      <c r="AO33" s="145"/>
      <c r="AP33" s="162">
        <v>2.7</v>
      </c>
      <c r="AQ33" s="145">
        <f t="shared" si="3"/>
        <v>2.5079872407968908</v>
      </c>
      <c r="AR33" s="145">
        <f t="shared" si="2"/>
        <v>6.2840610860036046</v>
      </c>
      <c r="AS33" s="145">
        <f t="shared" si="6"/>
        <v>1.4680036705197201</v>
      </c>
      <c r="AT33" s="145">
        <f t="shared" si="7"/>
        <v>0.48559259107152491</v>
      </c>
      <c r="AU33" s="145">
        <f t="shared" si="0"/>
        <v>109.39942597862004</v>
      </c>
      <c r="AV33" s="163" t="e">
        <f t="shared" si="1"/>
        <v>#REF!</v>
      </c>
      <c r="AW33" s="145"/>
      <c r="AX33" s="145"/>
      <c r="AY33" s="146"/>
      <c r="BB33" s="144" t="e">
        <f t="shared" si="8"/>
        <v>#REF!</v>
      </c>
      <c r="BC33" s="145">
        <f t="shared" si="9"/>
        <v>88.368487091204798</v>
      </c>
      <c r="BD33" s="145"/>
      <c r="BE33" s="145">
        <f>-BE29</f>
        <v>-88.368487091204798</v>
      </c>
      <c r="BF33" s="146">
        <f>BF29</f>
        <v>-306.29166666666663</v>
      </c>
    </row>
    <row r="34" spans="1:58" ht="19.5" customHeight="1">
      <c r="A34" s="144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 t="s">
        <v>382</v>
      </c>
      <c r="X34" s="145" t="s">
        <v>385</v>
      </c>
      <c r="Y34" s="145">
        <f>N12*(1+2*Y33)/(3*(1+Y33))</f>
        <v>53.901335798986082</v>
      </c>
      <c r="Z34" s="145" t="s">
        <v>155</v>
      </c>
      <c r="AA34" s="145"/>
      <c r="AB34" s="145"/>
      <c r="AF34" s="145"/>
      <c r="AG34" s="254"/>
      <c r="AH34" s="154" t="s">
        <v>358</v>
      </c>
      <c r="AI34" s="155" t="e">
        <f>$I$10-AI33</f>
        <v>#REF!</v>
      </c>
      <c r="AJ34" s="146"/>
      <c r="AM34" s="144"/>
      <c r="AN34" s="145"/>
      <c r="AO34" s="145"/>
      <c r="AP34" s="162">
        <v>2.8</v>
      </c>
      <c r="AQ34" s="145">
        <f t="shared" si="3"/>
        <v>2.6153393661244038</v>
      </c>
      <c r="AR34" s="145">
        <f t="shared" si="2"/>
        <v>6.5530446367556632</v>
      </c>
      <c r="AS34" s="145">
        <f t="shared" si="6"/>
        <v>1.4127414603624411</v>
      </c>
      <c r="AT34" s="145">
        <f t="shared" si="7"/>
        <v>0.4862328235897499</v>
      </c>
      <c r="AU34" s="145">
        <f t="shared" si="0"/>
        <v>109.54366432013202</v>
      </c>
      <c r="AV34" s="163" t="e">
        <f t="shared" si="1"/>
        <v>#REF!</v>
      </c>
      <c r="AW34" s="145"/>
      <c r="AX34" s="145"/>
      <c r="AY34" s="146"/>
      <c r="BB34" s="144" t="e">
        <f t="shared" si="8"/>
        <v>#REF!</v>
      </c>
      <c r="BC34" s="145">
        <f t="shared" si="9"/>
        <v>179</v>
      </c>
      <c r="BD34" s="145"/>
      <c r="BE34" s="145">
        <f>-BE28</f>
        <v>-179</v>
      </c>
      <c r="BF34" s="146">
        <f>BF28</f>
        <v>-336.29166666666663</v>
      </c>
    </row>
    <row r="35" spans="1:58" ht="19.5" customHeight="1">
      <c r="A35" s="144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 t="s">
        <v>383</v>
      </c>
      <c r="X35" s="145" t="s">
        <v>384</v>
      </c>
      <c r="Y35" s="145">
        <f>2/3*Y29*(1+(Y33^2/(1+Y33)))</f>
        <v>177.9963771721801</v>
      </c>
      <c r="Z35" s="145" t="s">
        <v>155</v>
      </c>
      <c r="AA35" s="145"/>
      <c r="AF35" s="145"/>
      <c r="AG35" s="145"/>
      <c r="AH35" s="145"/>
      <c r="AI35" s="145"/>
      <c r="AJ35" s="146"/>
      <c r="AM35" s="144"/>
      <c r="AN35" s="145"/>
      <c r="AO35" s="145"/>
      <c r="AP35" s="162">
        <v>2.9</v>
      </c>
      <c r="AQ35" s="145">
        <f t="shared" si="3"/>
        <v>2.7221315177632399</v>
      </c>
      <c r="AR35" s="145">
        <f t="shared" si="2"/>
        <v>6.8206251066590804</v>
      </c>
      <c r="AS35" s="145">
        <f t="shared" si="6"/>
        <v>1.3617166255647015</v>
      </c>
      <c r="AT35" s="145">
        <f t="shared" si="7"/>
        <v>0.48681565004614213</v>
      </c>
      <c r="AU35" s="145">
        <f t="shared" si="0"/>
        <v>109.67496961792037</v>
      </c>
      <c r="AV35" s="163" t="e">
        <f t="shared" si="1"/>
        <v>#REF!</v>
      </c>
      <c r="AW35" s="145"/>
      <c r="AX35" s="145"/>
      <c r="AY35" s="146"/>
      <c r="BB35" s="144" t="e">
        <f t="shared" si="8"/>
        <v>#REF!</v>
      </c>
      <c r="BC35" s="145">
        <f t="shared" si="9"/>
        <v>179</v>
      </c>
      <c r="BD35" s="145"/>
      <c r="BE35" s="145">
        <f>-BE27</f>
        <v>-179</v>
      </c>
      <c r="BF35" s="146">
        <f>BF27</f>
        <v>-216.29166666666666</v>
      </c>
    </row>
    <row r="36" spans="1:58" ht="19.5" customHeight="1">
      <c r="A36" s="144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67" t="s">
        <v>388</v>
      </c>
      <c r="X36" s="167" t="s">
        <v>389</v>
      </c>
      <c r="Y36" s="167">
        <v>4</v>
      </c>
      <c r="Z36" s="145" t="s">
        <v>155</v>
      </c>
      <c r="AA36" s="145"/>
      <c r="AF36" s="145"/>
      <c r="AG36" s="145"/>
      <c r="AH36" s="145"/>
      <c r="AI36" s="145"/>
      <c r="AJ36" s="146"/>
      <c r="AM36" s="144"/>
      <c r="AN36" s="145"/>
      <c r="AO36" s="145"/>
      <c r="AP36" s="162">
        <v>3</v>
      </c>
      <c r="AQ36" s="145">
        <f t="shared" si="3"/>
        <v>2.8284271247461903</v>
      </c>
      <c r="AR36" s="145">
        <f t="shared" si="2"/>
        <v>7.0869614247188366</v>
      </c>
      <c r="AS36" s="145">
        <f t="shared" si="6"/>
        <v>1.3144378279207798</v>
      </c>
      <c r="AT36" s="145">
        <f t="shared" si="7"/>
        <v>0.48734874429040848</v>
      </c>
      <c r="AU36" s="145">
        <f t="shared" si="0"/>
        <v>109.79507071787033</v>
      </c>
      <c r="AV36" s="163" t="e">
        <f t="shared" si="1"/>
        <v>#REF!</v>
      </c>
      <c r="AW36" s="145"/>
      <c r="AX36" s="145"/>
      <c r="AY36" s="146"/>
      <c r="BB36" s="144" t="e">
        <f t="shared" si="8"/>
        <v>#REF!</v>
      </c>
      <c r="BC36" s="145">
        <f t="shared" si="9"/>
        <v>59</v>
      </c>
      <c r="BD36" s="145"/>
      <c r="BE36" s="145">
        <f>-BE26</f>
        <v>-59</v>
      </c>
      <c r="BF36" s="146">
        <f>BF26</f>
        <v>-71.291666666666657</v>
      </c>
    </row>
    <row r="37" spans="1:58" ht="19.5" customHeight="1">
      <c r="A37" s="144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67" t="s">
        <v>394</v>
      </c>
      <c r="X37" s="167" t="s">
        <v>390</v>
      </c>
      <c r="Y37" s="145">
        <f>100*Y36/Y35</f>
        <v>2.2472367491674876</v>
      </c>
      <c r="Z37" s="145" t="s">
        <v>216</v>
      </c>
      <c r="AA37" s="145"/>
      <c r="AF37" s="145"/>
      <c r="AG37" s="145"/>
      <c r="AH37" s="145"/>
      <c r="AI37" s="145"/>
      <c r="AJ37" s="146"/>
      <c r="AM37" s="144"/>
      <c r="AN37" s="145"/>
      <c r="AO37" s="145"/>
      <c r="AP37" s="162">
        <v>3.1</v>
      </c>
      <c r="AQ37" s="145">
        <f t="shared" si="3"/>
        <v>2.9342801502242422</v>
      </c>
      <c r="AR37" s="145">
        <f t="shared" si="2"/>
        <v>7.3521888020443358</v>
      </c>
      <c r="AS37" s="145">
        <f t="shared" si="6"/>
        <v>1.2704895151310625</v>
      </c>
      <c r="AT37" s="145">
        <f t="shared" si="7"/>
        <v>0.48783843590117204</v>
      </c>
      <c r="AU37" s="145">
        <f t="shared" ref="AU37:AU56" si="10">AT37*$Y$29</f>
        <v>109.90539361428411</v>
      </c>
      <c r="AV37" s="163" t="e">
        <f t="shared" ref="AV37:AV56" si="11">AU37+$N$6</f>
        <v>#REF!</v>
      </c>
      <c r="AW37" s="145"/>
      <c r="AX37" s="145"/>
      <c r="AY37" s="146"/>
      <c r="BB37" s="144"/>
      <c r="BC37" s="145"/>
      <c r="BD37" s="145"/>
      <c r="BE37" s="145">
        <f>-BE25</f>
        <v>0</v>
      </c>
      <c r="BF37" s="146">
        <f>BF25</f>
        <v>0</v>
      </c>
    </row>
    <row r="38" spans="1:58" ht="19.5" customHeight="1">
      <c r="A38" s="144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 t="s">
        <v>395</v>
      </c>
      <c r="X38" s="145" t="s">
        <v>390</v>
      </c>
      <c r="Y38" s="145">
        <f>100*Y36/Y29</f>
        <v>1.7754849688751544</v>
      </c>
      <c r="Z38" s="145" t="s">
        <v>216</v>
      </c>
      <c r="AA38" s="145"/>
      <c r="AF38" s="145"/>
      <c r="AG38" s="145"/>
      <c r="AH38" s="145"/>
      <c r="AI38" s="145"/>
      <c r="AJ38" s="146"/>
      <c r="AM38" s="144"/>
      <c r="AN38" s="145"/>
      <c r="AO38" s="145"/>
      <c r="AP38" s="162">
        <v>3.2</v>
      </c>
      <c r="AQ38" s="145">
        <f t="shared" si="3"/>
        <v>3.039736830714133</v>
      </c>
      <c r="AR38" s="145">
        <f t="shared" si="2"/>
        <v>7.6164230897415379</v>
      </c>
      <c r="AS38" s="145">
        <f t="shared" si="6"/>
        <v>1.2295174726448062</v>
      </c>
      <c r="AT38" s="145">
        <f t="shared" si="7"/>
        <v>0.48828999733679973</v>
      </c>
      <c r="AU38" s="145">
        <f t="shared" si="10"/>
        <v>110.00712614225111</v>
      </c>
      <c r="AV38" s="163" t="e">
        <f t="shared" si="11"/>
        <v>#REF!</v>
      </c>
      <c r="AW38" s="145"/>
      <c r="AX38" s="145"/>
      <c r="AY38" s="146"/>
      <c r="BB38" s="247" t="s">
        <v>502</v>
      </c>
      <c r="BC38" s="248"/>
      <c r="BD38" s="145"/>
      <c r="BE38" s="145"/>
      <c r="BF38" s="146"/>
    </row>
    <row r="39" spans="1:58" ht="19.5" customHeight="1">
      <c r="A39" s="144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 t="s">
        <v>463</v>
      </c>
      <c r="X39" s="145" t="s">
        <v>462</v>
      </c>
      <c r="Y39" s="145">
        <f>100*Y36/Y28</f>
        <v>3.3333333333333335</v>
      </c>
      <c r="Z39" s="145" t="s">
        <v>216</v>
      </c>
      <c r="AA39" s="145"/>
      <c r="AF39" s="145"/>
      <c r="AG39" s="145"/>
      <c r="AH39" s="145"/>
      <c r="AI39" s="145"/>
      <c r="AJ39" s="146"/>
      <c r="AM39" s="144"/>
      <c r="AN39" s="145"/>
      <c r="AO39" s="145"/>
      <c r="AP39" s="162">
        <v>3.3</v>
      </c>
      <c r="AQ39" s="145">
        <f t="shared" si="3"/>
        <v>3.1448370387032774</v>
      </c>
      <c r="AR39" s="145">
        <f t="shared" si="2"/>
        <v>7.8797641930820852</v>
      </c>
      <c r="AS39" s="145">
        <f t="shared" si="6"/>
        <v>1.1912176217588057</v>
      </c>
      <c r="AT39" s="145">
        <f t="shared" si="7"/>
        <v>0.4887078596072959</v>
      </c>
      <c r="AU39" s="145">
        <f t="shared" si="10"/>
        <v>110.10126656648931</v>
      </c>
      <c r="AV39" s="163" t="e">
        <f t="shared" si="11"/>
        <v>#REF!</v>
      </c>
      <c r="AW39" s="145"/>
      <c r="AX39" s="145"/>
      <c r="AY39" s="146"/>
      <c r="BB39" s="144" t="s">
        <v>490</v>
      </c>
      <c r="BC39" s="145" t="s">
        <v>491</v>
      </c>
      <c r="BD39" s="145"/>
      <c r="BE39" s="145">
        <f>BE26</f>
        <v>59</v>
      </c>
      <c r="BF39" s="146">
        <f>BF26</f>
        <v>-71.291666666666657</v>
      </c>
    </row>
    <row r="40" spans="1:58" ht="19.5" customHeight="1">
      <c r="A40" s="144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AA40" s="145"/>
      <c r="AF40" s="145"/>
      <c r="AG40" s="145"/>
      <c r="AH40" s="145"/>
      <c r="AI40" s="145"/>
      <c r="AJ40" s="146"/>
      <c r="AM40" s="144"/>
      <c r="AN40" s="145"/>
      <c r="AO40" s="145"/>
      <c r="AP40" s="162">
        <v>3.4</v>
      </c>
      <c r="AQ40" s="145">
        <f t="shared" si="3"/>
        <v>3.2496153618543842</v>
      </c>
      <c r="AR40" s="145">
        <f t="shared" si="2"/>
        <v>8.1422987755791514</v>
      </c>
      <c r="AS40" s="145">
        <f t="shared" si="6"/>
        <v>1.1553272321779373</v>
      </c>
      <c r="AT40" s="145">
        <f t="shared" si="7"/>
        <v>0.48909577657450087</v>
      </c>
      <c r="AU40" s="145">
        <f t="shared" si="10"/>
        <v>110.18866059662875</v>
      </c>
      <c r="AV40" s="163" t="e">
        <f t="shared" si="11"/>
        <v>#REF!</v>
      </c>
      <c r="AW40" s="145"/>
      <c r="AX40" s="145"/>
      <c r="AY40" s="146"/>
      <c r="BB40" s="144" t="e">
        <f t="shared" ref="BB40:BB45" si="12">BB31</f>
        <v>#REF!</v>
      </c>
      <c r="BC40" s="145">
        <f>-BC31</f>
        <v>-59</v>
      </c>
      <c r="BD40" s="145"/>
      <c r="BE40" s="145">
        <f>BE30</f>
        <v>59</v>
      </c>
      <c r="BF40" s="146">
        <f>BF30</f>
        <v>-271.29166666666663</v>
      </c>
    </row>
    <row r="41" spans="1:58" ht="19.5" customHeight="1">
      <c r="A41" s="144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AA41" s="145"/>
      <c r="AF41" s="145"/>
      <c r="AG41" s="145"/>
      <c r="AH41" s="145"/>
      <c r="AI41" s="145"/>
      <c r="AJ41" s="146"/>
      <c r="AM41" s="144"/>
      <c r="AN41" s="145"/>
      <c r="AO41" s="145"/>
      <c r="AP41" s="162">
        <v>3.5</v>
      </c>
      <c r="AQ41" s="145">
        <f t="shared" si="3"/>
        <v>3.3541019662496847</v>
      </c>
      <c r="AR41" s="145">
        <f t="shared" si="2"/>
        <v>8.4041024219487923</v>
      </c>
      <c r="AS41" s="145">
        <f t="shared" si="6"/>
        <v>1.121617954611575</v>
      </c>
      <c r="AT41" s="145">
        <f t="shared" si="7"/>
        <v>0.48945695173408604</v>
      </c>
      <c r="AU41" s="145">
        <f t="shared" si="10"/>
        <v>110.27002994999793</v>
      </c>
      <c r="AV41" s="163" t="e">
        <f t="shared" si="11"/>
        <v>#REF!</v>
      </c>
      <c r="AW41" s="145"/>
      <c r="AX41" s="145"/>
      <c r="AY41" s="146"/>
      <c r="BB41" s="144" t="e">
        <f t="shared" si="12"/>
        <v>#REF!</v>
      </c>
      <c r="BC41" s="145">
        <f>-BC32</f>
        <v>-59</v>
      </c>
      <c r="BD41" s="145"/>
      <c r="BE41" s="145">
        <f>BE36</f>
        <v>-59</v>
      </c>
      <c r="BF41" s="146">
        <f>BF36</f>
        <v>-71.291666666666657</v>
      </c>
    </row>
    <row r="42" spans="1:58" ht="19.5" customHeight="1">
      <c r="A42" s="144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AA42" s="145"/>
      <c r="AF42" s="145"/>
      <c r="AG42" s="145"/>
      <c r="AH42" s="145"/>
      <c r="AI42" s="145"/>
      <c r="AJ42" s="146"/>
      <c r="AM42" s="144"/>
      <c r="AN42" s="145"/>
      <c r="AO42" s="145"/>
      <c r="AP42" s="162">
        <v>3.6</v>
      </c>
      <c r="AQ42" s="145">
        <f t="shared" si="3"/>
        <v>3.4583232931581165</v>
      </c>
      <c r="AR42" s="145">
        <f t="shared" si="2"/>
        <v>8.6652413839432079</v>
      </c>
      <c r="AS42" s="145">
        <f t="shared" si="6"/>
        <v>1.0898902422252461</v>
      </c>
      <c r="AT42" s="145">
        <f t="shared" si="7"/>
        <v>0.48979413719511011</v>
      </c>
      <c r="AU42" s="145">
        <f t="shared" si="10"/>
        <v>110.34599465078335</v>
      </c>
      <c r="AV42" s="163" t="e">
        <f t="shared" si="11"/>
        <v>#REF!</v>
      </c>
      <c r="AW42" s="145"/>
      <c r="AX42" s="145"/>
      <c r="AY42" s="146"/>
      <c r="BB42" s="144" t="e">
        <f t="shared" si="12"/>
        <v>#REF!</v>
      </c>
      <c r="BC42" s="145">
        <f>-BC33</f>
        <v>-88.368487091204798</v>
      </c>
      <c r="BD42" s="145"/>
      <c r="BE42" s="145">
        <f>BE32</f>
        <v>-59</v>
      </c>
      <c r="BF42" s="146">
        <f>BF32</f>
        <v>-271.29166666666663</v>
      </c>
    </row>
    <row r="43" spans="1:58" ht="19.5" customHeight="1">
      <c r="A43" s="144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AA43" s="145"/>
      <c r="AF43" s="145"/>
      <c r="AG43" s="145"/>
      <c r="AH43" s="145"/>
      <c r="AI43" s="145"/>
      <c r="AJ43" s="146"/>
      <c r="AM43" s="144"/>
      <c r="AN43" s="145"/>
      <c r="AO43" s="145"/>
      <c r="AP43" s="162">
        <v>3.7</v>
      </c>
      <c r="AQ43" s="145">
        <f t="shared" si="3"/>
        <v>3.5623026261113755</v>
      </c>
      <c r="AR43" s="145">
        <f t="shared" si="2"/>
        <v>8.9257740012274045</v>
      </c>
      <c r="AS43" s="145">
        <f t="shared" si="6"/>
        <v>1.0599688438791945</v>
      </c>
      <c r="AT43" s="145">
        <f t="shared" si="7"/>
        <v>0.49010971178182638</v>
      </c>
      <c r="AU43" s="145">
        <f t="shared" si="10"/>
        <v>110.41709062562931</v>
      </c>
      <c r="AV43" s="163" t="e">
        <f t="shared" si="11"/>
        <v>#REF!</v>
      </c>
      <c r="AW43" s="145"/>
      <c r="AX43" s="145"/>
      <c r="AY43" s="146"/>
      <c r="BB43" s="144" t="e">
        <f t="shared" si="12"/>
        <v>#REF!</v>
      </c>
      <c r="BC43" s="145">
        <f>-BC34</f>
        <v>-179</v>
      </c>
      <c r="BD43" s="145"/>
      <c r="BE43" s="145"/>
      <c r="BF43" s="146"/>
    </row>
    <row r="44" spans="1:58" ht="19.5" customHeight="1">
      <c r="A44" s="144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AA44" s="145"/>
      <c r="AF44" s="145"/>
      <c r="AG44" s="145"/>
      <c r="AH44" s="145"/>
      <c r="AI44" s="145"/>
      <c r="AJ44" s="146"/>
      <c r="AM44" s="144"/>
      <c r="AN44" s="145"/>
      <c r="AO44" s="145"/>
      <c r="AP44" s="162">
        <v>3.8</v>
      </c>
      <c r="AQ44" s="145">
        <f t="shared" si="3"/>
        <v>3.666060555964672</v>
      </c>
      <c r="AR44" s="145">
        <f t="shared" si="2"/>
        <v>9.1857518666443827</v>
      </c>
      <c r="AS44" s="145">
        <f t="shared" si="6"/>
        <v>1.0316991330535841</v>
      </c>
      <c r="AT44" s="145">
        <f t="shared" si="7"/>
        <v>0.49040574326635378</v>
      </c>
      <c r="AU44" s="145">
        <f t="shared" si="10"/>
        <v>110.48378372407102</v>
      </c>
      <c r="AV44" s="163" t="e">
        <f t="shared" si="11"/>
        <v>#REF!</v>
      </c>
      <c r="AW44" s="145"/>
      <c r="AX44" s="145"/>
      <c r="AY44" s="146"/>
      <c r="BB44" s="144" t="e">
        <f t="shared" si="12"/>
        <v>#REF!</v>
      </c>
      <c r="BC44" s="145">
        <f t="shared" ref="BC44:BC45" si="13">-BC35</f>
        <v>-179</v>
      </c>
      <c r="BD44" s="145"/>
      <c r="BE44" s="145"/>
      <c r="BF44" s="146"/>
    </row>
    <row r="45" spans="1:58" ht="19.5" customHeight="1">
      <c r="A45" s="144"/>
      <c r="B45" s="145" t="s">
        <v>503</v>
      </c>
      <c r="C45" s="145" t="s">
        <v>403</v>
      </c>
      <c r="D45" s="145" t="e">
        <f>D74</f>
        <v>#REF!</v>
      </c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Z45" s="145"/>
      <c r="AA45" s="145"/>
      <c r="AF45" s="145"/>
      <c r="AG45" s="145"/>
      <c r="AH45" s="145"/>
      <c r="AI45" s="145"/>
      <c r="AJ45" s="146"/>
      <c r="AM45" s="144"/>
      <c r="AN45" s="145"/>
      <c r="AO45" s="145"/>
      <c r="AP45" s="162">
        <v>3.9</v>
      </c>
      <c r="AQ45" s="145">
        <f t="shared" si="3"/>
        <v>3.7696153649941526</v>
      </c>
      <c r="AR45" s="145">
        <f t="shared" si="2"/>
        <v>9.4452207886170179</v>
      </c>
      <c r="AS45" s="145">
        <f t="shared" si="6"/>
        <v>1.0049440946064807</v>
      </c>
      <c r="AT45" s="145">
        <f t="shared" si="7"/>
        <v>0.49068403840413011</v>
      </c>
      <c r="AU45" s="145">
        <f t="shared" si="10"/>
        <v>110.54648099104988</v>
      </c>
      <c r="AV45" s="163" t="e">
        <f t="shared" si="11"/>
        <v>#REF!</v>
      </c>
      <c r="AW45" s="145"/>
      <c r="AX45" s="145"/>
      <c r="AY45" s="146"/>
      <c r="BB45" s="144" t="e">
        <f t="shared" si="12"/>
        <v>#REF!</v>
      </c>
      <c r="BC45" s="145">
        <f t="shared" si="13"/>
        <v>-59</v>
      </c>
      <c r="BD45" s="145"/>
      <c r="BE45" s="145"/>
      <c r="BF45" s="146"/>
    </row>
    <row r="46" spans="1:58" ht="19.5" customHeight="1" thickBot="1">
      <c r="A46" s="144"/>
      <c r="B46" s="145" t="s">
        <v>404</v>
      </c>
      <c r="C46" s="145" t="s">
        <v>398</v>
      </c>
      <c r="D46" s="145">
        <f>I19</f>
        <v>224</v>
      </c>
      <c r="E46" s="145" t="s">
        <v>374</v>
      </c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F46" s="145"/>
      <c r="AG46" s="145"/>
      <c r="AH46" s="145"/>
      <c r="AI46" s="145"/>
      <c r="AJ46" s="146"/>
      <c r="AM46" s="144"/>
      <c r="AN46" s="145"/>
      <c r="AO46" s="145"/>
      <c r="AP46" s="162">
        <v>4</v>
      </c>
      <c r="AQ46" s="145">
        <f t="shared" si="3"/>
        <v>3.872983346207417</v>
      </c>
      <c r="AR46" s="145">
        <f t="shared" si="2"/>
        <v>9.7042215912186425</v>
      </c>
      <c r="AS46" s="145">
        <f t="shared" si="6"/>
        <v>0.97958183394740961</v>
      </c>
      <c r="AT46" s="145">
        <f t="shared" si="7"/>
        <v>0.49094618349770741</v>
      </c>
      <c r="AU46" s="145">
        <f t="shared" si="10"/>
        <v>110.60553980555359</v>
      </c>
      <c r="AV46" s="163" t="e">
        <f t="shared" si="11"/>
        <v>#REF!</v>
      </c>
      <c r="AW46" s="145"/>
      <c r="AX46" s="145"/>
      <c r="AY46" s="146"/>
      <c r="BB46" s="179"/>
      <c r="BC46" s="180"/>
      <c r="BD46" s="180"/>
      <c r="BE46" s="180"/>
      <c r="BF46" s="181"/>
    </row>
    <row r="47" spans="1:58" ht="19.5" customHeight="1">
      <c r="A47" s="144"/>
      <c r="B47" s="145"/>
      <c r="C47" s="145" t="s">
        <v>401</v>
      </c>
      <c r="D47" s="145">
        <f>D46/340</f>
        <v>0.6588235294117647</v>
      </c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F47" s="145"/>
      <c r="AG47" s="145"/>
      <c r="AH47" s="145"/>
      <c r="AI47" s="145"/>
      <c r="AJ47" s="146"/>
      <c r="AM47" s="144"/>
      <c r="AN47" s="145"/>
      <c r="AO47" s="145"/>
      <c r="AP47" s="162">
        <v>4.0999999999999996</v>
      </c>
      <c r="AQ47" s="145">
        <f t="shared" si="3"/>
        <v>3.9761790704142084</v>
      </c>
      <c r="AR47" s="145">
        <f t="shared" si="2"/>
        <v>9.9627907833504992</v>
      </c>
      <c r="AS47" s="145">
        <f t="shared" si="6"/>
        <v>0.95550350449325205</v>
      </c>
      <c r="AT47" s="145">
        <f t="shared" si="7"/>
        <v>0.49119357753529164</v>
      </c>
      <c r="AU47" s="145">
        <f t="shared" si="10"/>
        <v>110.6612753464162</v>
      </c>
      <c r="AV47" s="163" t="e">
        <f t="shared" si="11"/>
        <v>#REF!</v>
      </c>
      <c r="AW47" s="145"/>
      <c r="AX47" s="145"/>
      <c r="AY47" s="146"/>
    </row>
    <row r="48" spans="1:58" ht="19.5" customHeight="1">
      <c r="A48" s="144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6"/>
      <c r="AM48" s="144"/>
      <c r="AN48" s="145"/>
      <c r="AO48" s="145"/>
      <c r="AP48" s="162">
        <v>4.2</v>
      </c>
      <c r="AQ48" s="145">
        <f t="shared" si="3"/>
        <v>4.0792156108742281</v>
      </c>
      <c r="AR48" s="145">
        <f t="shared" si="2"/>
        <v>10.220961121623636</v>
      </c>
      <c r="AS48" s="145">
        <f t="shared" si="6"/>
        <v>0.93261157258884553</v>
      </c>
      <c r="AT48" s="145">
        <f t="shared" si="7"/>
        <v>0.49142745945686755</v>
      </c>
      <c r="AU48" s="145">
        <f t="shared" si="10"/>
        <v>110.71396673511866</v>
      </c>
      <c r="AV48" s="163" t="e">
        <f t="shared" si="11"/>
        <v>#REF!</v>
      </c>
      <c r="AW48" s="145"/>
      <c r="AX48" s="145"/>
      <c r="AY48" s="146"/>
    </row>
    <row r="49" spans="1:51" ht="19.5" customHeight="1" thickBot="1">
      <c r="A49" s="179"/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1"/>
      <c r="AM49" s="144"/>
      <c r="AN49" s="145"/>
      <c r="AO49" s="145"/>
      <c r="AP49" s="162">
        <v>4.3</v>
      </c>
      <c r="AQ49" s="145">
        <f t="shared" si="3"/>
        <v>4.1821047332652963</v>
      </c>
      <c r="AR49" s="145">
        <f t="shared" si="2"/>
        <v>10.47876208634678</v>
      </c>
      <c r="AS49" s="145">
        <f t="shared" si="6"/>
        <v>0.9108183566290835</v>
      </c>
      <c r="AT49" s="145">
        <f t="shared" si="7"/>
        <v>0.49164893073787658</v>
      </c>
      <c r="AU49" s="145">
        <f t="shared" si="10"/>
        <v>110.76386212367817</v>
      </c>
      <c r="AV49" s="163" t="e">
        <f t="shared" si="11"/>
        <v>#REF!</v>
      </c>
      <c r="AW49" s="145"/>
      <c r="AX49" s="145"/>
      <c r="AY49" s="146"/>
    </row>
    <row r="50" spans="1:51" ht="19.5" customHeight="1">
      <c r="AM50" s="144"/>
      <c r="AN50" s="145"/>
      <c r="AO50" s="145"/>
      <c r="AP50" s="162">
        <v>4.4000000000000004</v>
      </c>
      <c r="AQ50" s="145">
        <f t="shared" si="3"/>
        <v>4.2848570571257101</v>
      </c>
      <c r="AR50" s="145">
        <f t="shared" si="2"/>
        <v>10.736220286039416</v>
      </c>
      <c r="AS50" s="145">
        <f t="shared" si="6"/>
        <v>0.89004479046210883</v>
      </c>
      <c r="AT50" s="145">
        <f t="shared" si="7"/>
        <v>0.49185897421072633</v>
      </c>
      <c r="AU50" s="145">
        <f t="shared" si="10"/>
        <v>110.81118293495665</v>
      </c>
      <c r="AV50" s="163" t="e">
        <f t="shared" si="11"/>
        <v>#REF!</v>
      </c>
      <c r="AW50" s="145"/>
      <c r="AX50" s="145"/>
      <c r="AY50" s="146"/>
    </row>
    <row r="51" spans="1:51" ht="19.5" customHeight="1">
      <c r="AM51" s="144"/>
      <c r="AN51" s="145"/>
      <c r="AO51" s="145"/>
      <c r="AP51" s="162">
        <v>4.5</v>
      </c>
      <c r="AQ51" s="145">
        <f t="shared" si="3"/>
        <v>4.3874821936960613</v>
      </c>
      <c r="AR51" s="145">
        <f t="shared" si="2"/>
        <v>10.993359802810895</v>
      </c>
      <c r="AS51" s="145">
        <f t="shared" si="6"/>
        <v>0.87021937138523231</v>
      </c>
      <c r="AT51" s="145">
        <f t="shared" si="7"/>
        <v>0.49205846984194612</v>
      </c>
      <c r="AU51" s="145">
        <f t="shared" si="10"/>
        <v>110.85612741710479</v>
      </c>
      <c r="AV51" s="163" t="e">
        <f t="shared" si="11"/>
        <v>#REF!</v>
      </c>
      <c r="AW51" s="145"/>
      <c r="AX51" s="145"/>
      <c r="AY51" s="146"/>
    </row>
    <row r="52" spans="1:51" ht="19.5" customHeight="1">
      <c r="AM52" s="144"/>
      <c r="AN52" s="145"/>
      <c r="AO52" s="145"/>
      <c r="AP52" s="162">
        <v>4.5999999999999996</v>
      </c>
      <c r="AQ52" s="145">
        <f t="shared" si="3"/>
        <v>4.4899888641287289</v>
      </c>
      <c r="AR52" s="145">
        <f t="shared" si="2"/>
        <v>11.250202488548421</v>
      </c>
      <c r="AS52" s="145">
        <f t="shared" si="6"/>
        <v>0.85127726095716272</v>
      </c>
      <c r="AT52" s="145">
        <f t="shared" si="7"/>
        <v>0.49224820802937402</v>
      </c>
      <c r="AU52" s="145">
        <f t="shared" si="10"/>
        <v>110.89887363929289</v>
      </c>
      <c r="AV52" s="163" t="e">
        <f t="shared" si="11"/>
        <v>#REF!</v>
      </c>
      <c r="AW52" s="145"/>
      <c r="AX52" s="145"/>
      <c r="AY52" s="146"/>
    </row>
    <row r="53" spans="1:51" ht="19.5" customHeight="1">
      <c r="B53" s="240" t="s">
        <v>438</v>
      </c>
      <c r="C53" s="241"/>
      <c r="D53" s="241"/>
      <c r="E53" s="242"/>
      <c r="AM53" s="144"/>
      <c r="AN53" s="145"/>
      <c r="AO53" s="145"/>
      <c r="AP53" s="162">
        <v>4.7</v>
      </c>
      <c r="AQ53" s="145">
        <f t="shared" si="3"/>
        <v>4.5923850012820138</v>
      </c>
      <c r="AR53" s="145">
        <f t="shared" si="2"/>
        <v>11.506768219974388</v>
      </c>
      <c r="AS53" s="145">
        <f t="shared" si="6"/>
        <v>0.83315951301609914</v>
      </c>
      <c r="AT53" s="145">
        <f t="shared" si="7"/>
        <v>0.49242890086645913</v>
      </c>
      <c r="AU53" s="145">
        <f t="shared" si="10"/>
        <v>110.93958202945169</v>
      </c>
      <c r="AV53" s="163" t="e">
        <f t="shared" si="11"/>
        <v>#REF!</v>
      </c>
      <c r="AW53" s="145"/>
      <c r="AX53" s="145"/>
      <c r="AY53" s="146"/>
    </row>
    <row r="54" spans="1:51" ht="19.5" customHeight="1">
      <c r="B54" s="162" t="s">
        <v>407</v>
      </c>
      <c r="C54" s="145" t="s">
        <v>409</v>
      </c>
      <c r="D54" s="145">
        <f>諸元!F44</f>
        <v>15</v>
      </c>
      <c r="E54" s="163" t="s">
        <v>408</v>
      </c>
      <c r="AM54" s="144"/>
      <c r="AN54" s="145"/>
      <c r="AO54" s="145"/>
      <c r="AP54" s="162">
        <v>4.8</v>
      </c>
      <c r="AQ54" s="145">
        <f t="shared" si="3"/>
        <v>4.6946778377222005</v>
      </c>
      <c r="AR54" s="145">
        <f t="shared" si="2"/>
        <v>11.763075119146036</v>
      </c>
      <c r="AS54" s="145">
        <f t="shared" si="6"/>
        <v>0.81581240813386036</v>
      </c>
      <c r="AT54" s="145">
        <f t="shared" si="7"/>
        <v>0.49260119173034056</v>
      </c>
      <c r="AU54" s="145">
        <f t="shared" si="10"/>
        <v>110.97839753437609</v>
      </c>
      <c r="AV54" s="163" t="e">
        <f t="shared" si="11"/>
        <v>#REF!</v>
      </c>
      <c r="AW54" s="145"/>
      <c r="AX54" s="145"/>
      <c r="AY54" s="146"/>
    </row>
    <row r="55" spans="1:51" ht="19.5" customHeight="1">
      <c r="B55" s="162" t="s">
        <v>410</v>
      </c>
      <c r="C55" s="145" t="s">
        <v>411</v>
      </c>
      <c r="D55" s="145">
        <f>18.2*((273+20+117)/(273.15+D54+117))*((273.15+D54)/(273+20))^(3/2)*10^-6</f>
        <v>1.7962463837350092E-5</v>
      </c>
      <c r="E55" s="163" t="s">
        <v>414</v>
      </c>
      <c r="AM55" s="144"/>
      <c r="AN55" s="145"/>
      <c r="AO55" s="145"/>
      <c r="AP55" s="162">
        <v>4.9000000000000004</v>
      </c>
      <c r="AQ55" s="145">
        <f t="shared" si="3"/>
        <v>4.7968739820845832</v>
      </c>
      <c r="AR55" s="145">
        <f t="shared" si="2"/>
        <v>12.019139744787115</v>
      </c>
      <c r="AS55" s="145">
        <f t="shared" si="6"/>
        <v>0.79918687756279039</v>
      </c>
      <c r="AT55" s="145">
        <f t="shared" si="7"/>
        <v>0.49276566348011841</v>
      </c>
      <c r="AU55" s="145">
        <f t="shared" si="10"/>
        <v>111.01545146671819</v>
      </c>
      <c r="AV55" s="163" t="e">
        <f t="shared" si="11"/>
        <v>#REF!</v>
      </c>
      <c r="AW55" s="145"/>
      <c r="AX55" s="145"/>
      <c r="AY55" s="146"/>
    </row>
    <row r="56" spans="1:51" ht="19.5" customHeight="1">
      <c r="B56" s="162" t="s">
        <v>413</v>
      </c>
      <c r="C56" s="145" t="s">
        <v>412</v>
      </c>
      <c r="D56" s="145">
        <f>D55/1.2</f>
        <v>1.496871986445841E-5</v>
      </c>
      <c r="E56" s="163" t="s">
        <v>415</v>
      </c>
      <c r="AM56" s="144"/>
      <c r="AN56" s="145"/>
      <c r="AO56" s="145"/>
      <c r="AP56" s="153">
        <v>5</v>
      </c>
      <c r="AQ56" s="154">
        <f t="shared" si="3"/>
        <v>4.8989794855663558</v>
      </c>
      <c r="AR56" s="154">
        <f t="shared" si="2"/>
        <v>12.27497725889374</v>
      </c>
      <c r="AS56" s="154">
        <f t="shared" si="6"/>
        <v>0.78323800277695443</v>
      </c>
      <c r="AT56" s="154">
        <f t="shared" si="7"/>
        <v>0.49292284549675963</v>
      </c>
      <c r="AU56" s="154">
        <f t="shared" si="10"/>
        <v>111.05086309101165</v>
      </c>
      <c r="AV56" s="155" t="e">
        <f t="shared" si="11"/>
        <v>#REF!</v>
      </c>
      <c r="AW56" s="145"/>
      <c r="AX56" s="145"/>
      <c r="AY56" s="146"/>
    </row>
    <row r="57" spans="1:51" ht="19.5" customHeight="1">
      <c r="B57" s="162" t="s">
        <v>417</v>
      </c>
      <c r="C57" s="145" t="s">
        <v>416</v>
      </c>
      <c r="D57" s="145">
        <f>(I3*D46)/D56</f>
        <v>1765815663.5531604</v>
      </c>
      <c r="E57" s="163"/>
      <c r="AM57" s="144"/>
      <c r="AN57" s="145"/>
      <c r="AO57" s="145"/>
      <c r="AP57" s="145"/>
      <c r="AQ57" s="145"/>
      <c r="AR57" s="145"/>
      <c r="AS57" s="145"/>
      <c r="AT57" s="145"/>
      <c r="AU57" s="145"/>
      <c r="AV57" s="145"/>
      <c r="AW57" s="145"/>
      <c r="AX57" s="145"/>
      <c r="AY57" s="146"/>
    </row>
    <row r="58" spans="1:51" ht="19.5" customHeight="1">
      <c r="B58" s="162" t="s">
        <v>419</v>
      </c>
      <c r="C58" s="145" t="s">
        <v>418</v>
      </c>
      <c r="D58" s="145">
        <f>0.455/((LOG10(D57))^2.58)-1700/D57</f>
        <v>1.4636938427949129E-3</v>
      </c>
      <c r="E58" s="163"/>
      <c r="AM58" s="144"/>
      <c r="AN58" s="145"/>
      <c r="AO58" s="145"/>
      <c r="AP58" s="145"/>
      <c r="AQ58" s="145"/>
      <c r="AR58" s="145"/>
      <c r="AS58" s="145"/>
      <c r="AT58" s="145"/>
      <c r="AU58" s="145"/>
      <c r="AV58" s="145"/>
      <c r="AW58" s="145"/>
      <c r="AX58" s="145"/>
      <c r="AY58" s="146"/>
    </row>
    <row r="59" spans="1:51" ht="19.5" customHeight="1">
      <c r="B59" s="162"/>
      <c r="C59" s="145"/>
      <c r="D59" s="145"/>
      <c r="E59" s="163"/>
      <c r="AM59" s="144"/>
      <c r="AN59" s="145"/>
      <c r="AO59" s="145"/>
      <c r="AP59" s="145"/>
      <c r="AQ59" s="145"/>
      <c r="AR59" s="145"/>
      <c r="AS59" s="145"/>
      <c r="AT59" s="145"/>
      <c r="AU59" s="145"/>
      <c r="AV59" s="145"/>
      <c r="AW59" s="145"/>
      <c r="AX59" s="145"/>
      <c r="AY59" s="146"/>
    </row>
    <row r="60" spans="1:51" ht="19.5" customHeight="1">
      <c r="B60" s="162"/>
      <c r="C60" s="145"/>
      <c r="D60" s="145"/>
      <c r="E60" s="163"/>
      <c r="AM60" s="144"/>
      <c r="AN60" s="145"/>
      <c r="AO60" s="145"/>
      <c r="AP60" s="145"/>
      <c r="AQ60" s="145"/>
      <c r="AR60" s="145"/>
      <c r="AS60" s="145"/>
      <c r="AT60" s="145"/>
      <c r="AU60" s="145"/>
      <c r="AV60" s="145"/>
      <c r="AW60" s="145"/>
      <c r="AX60" s="145"/>
      <c r="AY60" s="146"/>
    </row>
    <row r="61" spans="1:51" ht="19.5" customHeight="1">
      <c r="B61" s="162" t="s">
        <v>420</v>
      </c>
      <c r="C61" s="145" t="s">
        <v>376</v>
      </c>
      <c r="D61" s="145" t="e">
        <f>I3*PI()*I5+諸元!#REF!</f>
        <v>#REF!</v>
      </c>
      <c r="E61" s="163" t="s">
        <v>154</v>
      </c>
      <c r="AM61" s="144"/>
      <c r="AN61" s="145"/>
      <c r="AO61" s="145"/>
      <c r="AP61" s="145"/>
      <c r="AQ61" s="145"/>
      <c r="AR61" s="145"/>
      <c r="AS61" s="145"/>
      <c r="AT61" s="145"/>
      <c r="AU61" s="145"/>
      <c r="AV61" s="145"/>
      <c r="AW61" s="145"/>
      <c r="AX61" s="145"/>
      <c r="AY61" s="146"/>
    </row>
    <row r="62" spans="1:51" ht="19.5" customHeight="1" thickBot="1">
      <c r="B62" s="162"/>
      <c r="C62" s="145"/>
      <c r="D62" s="145"/>
      <c r="E62" s="163"/>
      <c r="AM62" s="179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  <c r="AX62" s="180"/>
      <c r="AY62" s="181"/>
    </row>
    <row r="63" spans="1:51" ht="19.5" customHeight="1">
      <c r="B63" s="162"/>
      <c r="C63" s="145"/>
      <c r="D63" s="145"/>
      <c r="E63" s="163"/>
    </row>
    <row r="64" spans="1:51" ht="19.5" customHeight="1">
      <c r="B64" s="162" t="s">
        <v>423</v>
      </c>
      <c r="C64" s="145"/>
      <c r="D64" s="145">
        <f>10^(-1.4-LOG(D57)/(LOG(10))*0.16)</f>
        <v>1.3197410991132629E-3</v>
      </c>
      <c r="E64" s="163"/>
    </row>
    <row r="65" spans="2:5" ht="19.5" customHeight="1">
      <c r="B65" s="182" t="s">
        <v>422</v>
      </c>
      <c r="C65" s="183" t="s">
        <v>436</v>
      </c>
      <c r="D65" s="183" t="e">
        <f>1.02*D64*D61/(I3^2*PI()/4)*(1+(1.5/(I6^(3/2))))</f>
        <v>#REF!</v>
      </c>
      <c r="E65" s="163"/>
    </row>
    <row r="66" spans="2:5" ht="19.5" customHeight="1">
      <c r="B66" s="182" t="s">
        <v>421</v>
      </c>
      <c r="C66" s="183" t="s">
        <v>436</v>
      </c>
      <c r="D66" s="183" t="e">
        <f>0.029/SQRT(D65)*(S3/I3)^3</f>
        <v>#REF!</v>
      </c>
      <c r="E66" s="163"/>
    </row>
    <row r="67" spans="2:5" ht="19.5" customHeight="1">
      <c r="B67" s="162" t="s">
        <v>427</v>
      </c>
      <c r="C67" s="145"/>
      <c r="D67" s="145">
        <f>2*D58*(1+2*Y37/100)</f>
        <v>3.0589583493121826E-3</v>
      </c>
      <c r="E67" s="163"/>
    </row>
    <row r="68" spans="2:5" ht="19.5" customHeight="1">
      <c r="B68" s="162" t="s">
        <v>375</v>
      </c>
      <c r="C68" s="145" t="s">
        <v>341</v>
      </c>
      <c r="D68" s="145">
        <f>(1.2*PI()*(N12/10^3)^2*D46)^2*D46</f>
        <v>33123.122950956524</v>
      </c>
      <c r="E68" s="163"/>
    </row>
    <row r="69" spans="2:5" ht="19.5" customHeight="1">
      <c r="B69" s="162" t="s">
        <v>432</v>
      </c>
      <c r="C69" s="145" t="s">
        <v>425</v>
      </c>
      <c r="D69" s="145">
        <f>2*D68/(1.2*D46^2*Y30)</f>
        <v>1.7801076046130074E-5</v>
      </c>
      <c r="E69" s="163"/>
    </row>
    <row r="70" spans="2:5" ht="19.5" customHeight="1">
      <c r="B70" s="162" t="s">
        <v>433</v>
      </c>
      <c r="C70" s="145" t="s">
        <v>426</v>
      </c>
      <c r="D70" s="145">
        <f>D69^2/PI()*Y32</f>
        <v>1.6732504268150751E-10</v>
      </c>
      <c r="E70" s="163"/>
    </row>
    <row r="71" spans="2:5" ht="19.5" customHeight="1">
      <c r="B71" s="162" t="s">
        <v>434</v>
      </c>
      <c r="C71" s="145" t="s">
        <v>435</v>
      </c>
      <c r="D71" s="145">
        <f>D67/((I3/10^3)^2*PI()/4)*0.5*(N20/10^3*N12/10^3*2)*N3</f>
        <v>3.0248503710237833E-2</v>
      </c>
      <c r="E71" s="163"/>
    </row>
    <row r="72" spans="2:5" ht="19.5" customHeight="1">
      <c r="B72" s="182" t="s">
        <v>429</v>
      </c>
      <c r="C72" s="183" t="s">
        <v>428</v>
      </c>
      <c r="D72" s="183">
        <f>D70+D71</f>
        <v>3.0248503877562876E-2</v>
      </c>
      <c r="E72" s="163"/>
    </row>
    <row r="73" spans="2:5" ht="19.5" customHeight="1">
      <c r="B73" s="182" t="s">
        <v>430</v>
      </c>
      <c r="C73" s="183"/>
      <c r="D73" s="183">
        <f>D71*(N20/10^3)/((I3/10^3)^2*PI()/4)*(I3/10^3)*0.5*N3</f>
        <v>0.14706353291234578</v>
      </c>
      <c r="E73" s="163"/>
    </row>
    <row r="74" spans="2:5" ht="19.5" customHeight="1">
      <c r="B74" s="184" t="s">
        <v>437</v>
      </c>
      <c r="C74" s="185" t="s">
        <v>403</v>
      </c>
      <c r="D74" s="185" t="e">
        <f>D65+D66+D72+D73</f>
        <v>#REF!</v>
      </c>
      <c r="E74" s="155"/>
    </row>
  </sheetData>
  <mergeCells count="22">
    <mergeCell ref="B53:E53"/>
    <mergeCell ref="BB21:BC21"/>
    <mergeCell ref="AG22:AG27"/>
    <mergeCell ref="BE23:BF23"/>
    <mergeCell ref="AG29:AG34"/>
    <mergeCell ref="BB29:BC29"/>
    <mergeCell ref="BB38:BC38"/>
    <mergeCell ref="BB13:BC13"/>
    <mergeCell ref="BE13:BF13"/>
    <mergeCell ref="AG14:AI14"/>
    <mergeCell ref="AG15:AG20"/>
    <mergeCell ref="W17:Y17"/>
    <mergeCell ref="L19:O19"/>
    <mergeCell ref="B1:J1"/>
    <mergeCell ref="L1:P1"/>
    <mergeCell ref="AB2:AI11"/>
    <mergeCell ref="W3:Z3"/>
    <mergeCell ref="AM3:AY3"/>
    <mergeCell ref="BB3:BF3"/>
    <mergeCell ref="BB5:BC5"/>
    <mergeCell ref="BE5:BF5"/>
    <mergeCell ref="BE9:BF9"/>
  </mergeCells>
  <phoneticPr fontId="13"/>
  <pageMargins left="0.7" right="0.7" top="0.75" bottom="0.75" header="0.3" footer="0.3"/>
  <pageSetup paperSize="9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4"/>
  <sheetViews>
    <sheetView zoomScale="60" zoomScaleNormal="60" workbookViewId="0">
      <selection activeCell="L18" sqref="L18"/>
    </sheetView>
  </sheetViews>
  <sheetFormatPr defaultColWidth="9" defaultRowHeight="19.5" customHeight="1"/>
  <cols>
    <col min="1" max="1" width="9" style="143"/>
    <col min="2" max="2" width="31.625" style="143" customWidth="1"/>
    <col min="3" max="3" width="7.5" style="143" customWidth="1"/>
    <col min="4" max="4" width="8.875" style="143" customWidth="1"/>
    <col min="5" max="5" width="8" style="143" customWidth="1"/>
    <col min="6" max="6" width="9" style="143"/>
    <col min="7" max="7" width="29.875" style="143" customWidth="1"/>
    <col min="8" max="8" width="5.25" style="143" customWidth="1"/>
    <col min="9" max="9" width="9" style="143"/>
    <col min="10" max="10" width="8.25" style="143" customWidth="1"/>
    <col min="11" max="11" width="9" style="143"/>
    <col min="12" max="12" width="31.625" style="143" customWidth="1"/>
    <col min="13" max="13" width="4.375" style="143" customWidth="1"/>
    <col min="14" max="14" width="9" style="143"/>
    <col min="15" max="15" width="5.625" style="143" customWidth="1"/>
    <col min="16" max="16" width="9" style="143"/>
    <col min="17" max="17" width="27.375" style="143" customWidth="1"/>
    <col min="18" max="18" width="7.75" style="143" customWidth="1"/>
    <col min="19" max="19" width="9" style="143"/>
    <col min="20" max="20" width="7.75" style="143" customWidth="1"/>
    <col min="21" max="22" width="9" style="143"/>
    <col min="23" max="23" width="28.5" style="143" customWidth="1"/>
    <col min="24" max="24" width="7.375" style="143" customWidth="1"/>
    <col min="25" max="25" width="9" style="143"/>
    <col min="26" max="27" width="8.25" style="143" customWidth="1"/>
    <col min="28" max="28" width="8.5" style="143" customWidth="1"/>
    <col min="29" max="30" width="9.25" style="143" customWidth="1"/>
    <col min="31" max="16384" width="9" style="143"/>
  </cols>
  <sheetData>
    <row r="1" spans="1:45" ht="19.5" customHeight="1" thickBot="1">
      <c r="A1" s="140"/>
      <c r="B1" s="236" t="s">
        <v>505</v>
      </c>
      <c r="C1" s="237"/>
      <c r="D1" s="237"/>
      <c r="E1" s="237"/>
      <c r="F1" s="237"/>
      <c r="G1" s="237"/>
      <c r="H1" s="237"/>
      <c r="I1" s="237"/>
      <c r="J1" s="238"/>
      <c r="K1" s="141"/>
      <c r="L1" s="239" t="s">
        <v>504</v>
      </c>
      <c r="M1" s="239"/>
      <c r="N1" s="239"/>
      <c r="O1" s="239"/>
      <c r="P1" s="239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2"/>
    </row>
    <row r="2" spans="1:45" ht="19.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255" t="s">
        <v>528</v>
      </c>
      <c r="AC2" s="256"/>
      <c r="AD2" s="256"/>
      <c r="AE2" s="256"/>
      <c r="AF2" s="256"/>
      <c r="AG2" s="256"/>
      <c r="AH2" s="256"/>
      <c r="AI2" s="257"/>
      <c r="AJ2" s="146"/>
    </row>
    <row r="3" spans="1:45" ht="19.5" customHeight="1" thickBot="1">
      <c r="A3" s="144"/>
      <c r="B3" s="147" t="s">
        <v>294</v>
      </c>
      <c r="C3" s="147"/>
      <c r="D3" s="148">
        <v>2</v>
      </c>
      <c r="E3" s="147"/>
      <c r="F3" s="145"/>
      <c r="G3" s="147" t="s">
        <v>245</v>
      </c>
      <c r="H3" s="147" t="s">
        <v>246</v>
      </c>
      <c r="I3" s="149">
        <f>諸元!F5*1000</f>
        <v>118</v>
      </c>
      <c r="J3" s="147" t="s">
        <v>155</v>
      </c>
      <c r="K3" s="145"/>
      <c r="L3" s="147" t="s">
        <v>272</v>
      </c>
      <c r="M3" s="147"/>
      <c r="N3" s="148">
        <v>4</v>
      </c>
      <c r="O3" s="147" t="s">
        <v>273</v>
      </c>
      <c r="P3" s="145"/>
      <c r="Q3" s="147" t="s">
        <v>301</v>
      </c>
      <c r="R3" s="147" t="s">
        <v>506</v>
      </c>
      <c r="S3" s="149" t="e">
        <f>諸元!#REF!</f>
        <v>#REF!</v>
      </c>
      <c r="T3" s="147" t="s">
        <v>155</v>
      </c>
      <c r="U3" s="145"/>
      <c r="V3" s="145"/>
      <c r="W3" s="244" t="s">
        <v>241</v>
      </c>
      <c r="X3" s="245"/>
      <c r="Y3" s="245"/>
      <c r="Z3" s="246"/>
      <c r="AA3" s="145"/>
      <c r="AB3" s="258"/>
      <c r="AC3" s="259"/>
      <c r="AD3" s="259"/>
      <c r="AE3" s="259"/>
      <c r="AF3" s="259"/>
      <c r="AG3" s="259"/>
      <c r="AH3" s="259"/>
      <c r="AI3" s="260"/>
      <c r="AJ3" s="146"/>
      <c r="AO3" s="236" t="s">
        <v>486</v>
      </c>
      <c r="AP3" s="237"/>
      <c r="AQ3" s="237"/>
      <c r="AR3" s="237"/>
      <c r="AS3" s="238"/>
    </row>
    <row r="4" spans="1:45" ht="19.5" customHeight="1">
      <c r="A4" s="144"/>
      <c r="B4" s="147" t="s">
        <v>295</v>
      </c>
      <c r="C4" s="147"/>
      <c r="D4" s="147"/>
      <c r="E4" s="147"/>
      <c r="F4" s="145"/>
      <c r="G4" s="147" t="s">
        <v>251</v>
      </c>
      <c r="H4" s="147" t="s">
        <v>252</v>
      </c>
      <c r="I4" s="149">
        <f>I3/2</f>
        <v>59</v>
      </c>
      <c r="J4" s="147" t="s">
        <v>155</v>
      </c>
      <c r="K4" s="145"/>
      <c r="L4" s="147"/>
      <c r="M4" s="147"/>
      <c r="N4" s="149"/>
      <c r="O4" s="147"/>
      <c r="P4" s="145"/>
      <c r="Q4" s="147" t="s">
        <v>302</v>
      </c>
      <c r="R4" s="147" t="s">
        <v>507</v>
      </c>
      <c r="S4" s="149" t="e">
        <f>諸元!#REF!</f>
        <v>#REF!</v>
      </c>
      <c r="T4" s="147" t="s">
        <v>155</v>
      </c>
      <c r="U4" s="145"/>
      <c r="V4" s="145"/>
      <c r="W4" s="150" t="s">
        <v>242</v>
      </c>
      <c r="X4" s="151"/>
      <c r="Y4" s="151" t="s">
        <v>243</v>
      </c>
      <c r="Z4" s="152" t="s">
        <v>244</v>
      </c>
      <c r="AA4" s="145"/>
      <c r="AB4" s="258"/>
      <c r="AC4" s="259"/>
      <c r="AD4" s="259"/>
      <c r="AE4" s="259"/>
      <c r="AF4" s="259"/>
      <c r="AG4" s="259"/>
      <c r="AH4" s="259"/>
      <c r="AI4" s="260"/>
      <c r="AJ4" s="146"/>
      <c r="AO4" s="144"/>
      <c r="AP4" s="145"/>
      <c r="AQ4" s="145"/>
      <c r="AR4" s="145"/>
      <c r="AS4" s="146"/>
    </row>
    <row r="5" spans="1:45" ht="19.5" customHeight="1">
      <c r="A5" s="144"/>
      <c r="B5" s="147" t="s">
        <v>296</v>
      </c>
      <c r="C5" s="147"/>
      <c r="D5" s="147"/>
      <c r="E5" s="147"/>
      <c r="F5" s="145"/>
      <c r="G5" s="147" t="s">
        <v>256</v>
      </c>
      <c r="H5" s="147" t="s">
        <v>508</v>
      </c>
      <c r="I5" s="149">
        <f>諸元!F4*1000</f>
        <v>2142</v>
      </c>
      <c r="J5" s="147" t="s">
        <v>155</v>
      </c>
      <c r="K5" s="145"/>
      <c r="L5" s="147" t="s">
        <v>275</v>
      </c>
      <c r="M5" s="147" t="s">
        <v>509</v>
      </c>
      <c r="N5" s="148"/>
      <c r="O5" s="147" t="s">
        <v>155</v>
      </c>
      <c r="P5" s="145"/>
      <c r="Q5" s="147" t="s">
        <v>303</v>
      </c>
      <c r="R5" s="147" t="s">
        <v>304</v>
      </c>
      <c r="S5" s="147" t="e">
        <f>I5-S4</f>
        <v>#REF!</v>
      </c>
      <c r="T5" s="147" t="s">
        <v>155</v>
      </c>
      <c r="U5" s="145"/>
      <c r="V5" s="145"/>
      <c r="W5" s="156" t="s">
        <v>279</v>
      </c>
      <c r="X5" s="157" t="s">
        <v>478</v>
      </c>
      <c r="Y5" s="157" t="e">
        <f>S11/1000</f>
        <v>#REF!</v>
      </c>
      <c r="Z5" s="158" t="s">
        <v>49</v>
      </c>
      <c r="AA5" s="145"/>
      <c r="AB5" s="258"/>
      <c r="AC5" s="259"/>
      <c r="AD5" s="259"/>
      <c r="AE5" s="259"/>
      <c r="AF5" s="259"/>
      <c r="AG5" s="259"/>
      <c r="AH5" s="259"/>
      <c r="AI5" s="260"/>
      <c r="AJ5" s="146"/>
      <c r="AO5" s="247" t="s">
        <v>487</v>
      </c>
      <c r="AP5" s="248"/>
      <c r="AQ5" s="145"/>
      <c r="AR5" s="248" t="s">
        <v>237</v>
      </c>
      <c r="AS5" s="252"/>
    </row>
    <row r="6" spans="1:45" ht="19.5" customHeight="1">
      <c r="A6" s="144"/>
      <c r="B6" s="147"/>
      <c r="C6" s="147"/>
      <c r="D6" s="147"/>
      <c r="E6" s="147"/>
      <c r="F6" s="145"/>
      <c r="G6" s="147" t="s">
        <v>259</v>
      </c>
      <c r="H6" s="147" t="s">
        <v>260</v>
      </c>
      <c r="I6" s="147">
        <f>I5/I3</f>
        <v>18.152542372881356</v>
      </c>
      <c r="J6" s="147"/>
      <c r="K6" s="145"/>
      <c r="L6" s="147" t="s">
        <v>278</v>
      </c>
      <c r="M6" s="147" t="s">
        <v>509</v>
      </c>
      <c r="N6" s="149" t="e">
        <f>I5-S4-N9</f>
        <v>#REF!</v>
      </c>
      <c r="O6" s="147" t="s">
        <v>155</v>
      </c>
      <c r="P6" s="145"/>
      <c r="Q6" s="147"/>
      <c r="R6" s="147"/>
      <c r="S6" s="147"/>
      <c r="T6" s="147"/>
      <c r="U6" s="145"/>
      <c r="V6" s="145"/>
      <c r="W6" s="156" t="s">
        <v>348</v>
      </c>
      <c r="X6" s="157" t="s">
        <v>510</v>
      </c>
      <c r="Y6" s="157">
        <f>-4*2*($N$12+$I$4)^4/(PI()*$I$5^2*($I$3^2*PI()/4))</f>
        <v>-5.2102601612809905E-2</v>
      </c>
      <c r="Z6" s="158" t="s">
        <v>56</v>
      </c>
      <c r="AA6" s="145"/>
      <c r="AB6" s="258"/>
      <c r="AC6" s="259"/>
      <c r="AD6" s="259"/>
      <c r="AE6" s="259"/>
      <c r="AF6" s="259"/>
      <c r="AG6" s="259"/>
      <c r="AH6" s="259"/>
      <c r="AI6" s="260"/>
      <c r="AJ6" s="146"/>
      <c r="AO6" s="144" t="s">
        <v>488</v>
      </c>
      <c r="AP6" s="145" t="s">
        <v>489</v>
      </c>
      <c r="AQ6" s="145"/>
      <c r="AR6" s="145" t="s">
        <v>488</v>
      </c>
      <c r="AS6" s="146" t="s">
        <v>489</v>
      </c>
    </row>
    <row r="7" spans="1:45" ht="19.5" customHeight="1">
      <c r="A7" s="144"/>
      <c r="B7" s="147" t="s">
        <v>297</v>
      </c>
      <c r="C7" s="147" t="s">
        <v>511</v>
      </c>
      <c r="D7" s="149" t="e">
        <f>諸元!#REF!</f>
        <v>#REF!</v>
      </c>
      <c r="E7" s="147" t="s">
        <v>155</v>
      </c>
      <c r="F7" s="145"/>
      <c r="G7" s="147"/>
      <c r="H7" s="147"/>
      <c r="I7" s="147"/>
      <c r="J7" s="147"/>
      <c r="K7" s="145"/>
      <c r="L7" s="147"/>
      <c r="M7" s="147"/>
      <c r="N7" s="149"/>
      <c r="O7" s="147"/>
      <c r="P7" s="145"/>
      <c r="Q7" s="147" t="s">
        <v>261</v>
      </c>
      <c r="R7" s="147" t="s">
        <v>512</v>
      </c>
      <c r="S7" s="147" t="e">
        <f>2*((S3/I3)^2-(I3/I3)^2)</f>
        <v>#REF!</v>
      </c>
      <c r="T7" s="147" t="s">
        <v>399</v>
      </c>
      <c r="U7" s="145"/>
      <c r="V7" s="145"/>
      <c r="W7" s="156" t="s">
        <v>347</v>
      </c>
      <c r="X7" s="157" t="s">
        <v>513</v>
      </c>
      <c r="Y7" s="157" t="e">
        <f>AVERAGE(S26,S32)</f>
        <v>#REF!</v>
      </c>
      <c r="Z7" s="158" t="s">
        <v>56</v>
      </c>
      <c r="AA7" s="145"/>
      <c r="AB7" s="258"/>
      <c r="AC7" s="259"/>
      <c r="AD7" s="259"/>
      <c r="AE7" s="259"/>
      <c r="AF7" s="259"/>
      <c r="AG7" s="259"/>
      <c r="AH7" s="259"/>
      <c r="AI7" s="260"/>
      <c r="AJ7" s="146"/>
      <c r="AO7" s="144">
        <v>0</v>
      </c>
      <c r="AP7" s="145">
        <v>0</v>
      </c>
      <c r="AQ7" s="145"/>
      <c r="AR7" s="145">
        <f>I9</f>
        <v>1261.0437426833105</v>
      </c>
      <c r="AS7" s="146">
        <v>0</v>
      </c>
    </row>
    <row r="8" spans="1:45" ht="19.5" customHeight="1">
      <c r="A8" s="144"/>
      <c r="B8" s="147"/>
      <c r="C8" s="147"/>
      <c r="D8" s="147"/>
      <c r="E8" s="147"/>
      <c r="F8" s="145"/>
      <c r="G8" s="147" t="s">
        <v>263</v>
      </c>
      <c r="H8" s="147" t="s">
        <v>264</v>
      </c>
      <c r="I8" s="149">
        <f>諸元!M13*1000</f>
        <v>1274.3006869581177</v>
      </c>
      <c r="J8" s="147" t="s">
        <v>155</v>
      </c>
      <c r="K8" s="145"/>
      <c r="L8" s="147" t="s">
        <v>284</v>
      </c>
      <c r="M8" s="147"/>
      <c r="N8" s="149"/>
      <c r="O8" s="147"/>
      <c r="P8" s="145"/>
      <c r="Q8" s="147" t="s">
        <v>344</v>
      </c>
      <c r="R8" s="147" t="s">
        <v>514</v>
      </c>
      <c r="S8" s="147" t="e">
        <f>S7/2</f>
        <v>#REF!</v>
      </c>
      <c r="T8" s="147"/>
      <c r="U8" s="145"/>
      <c r="V8" s="145"/>
      <c r="W8" s="156" t="s">
        <v>474</v>
      </c>
      <c r="X8" s="157" t="s">
        <v>515</v>
      </c>
      <c r="Y8" s="157">
        <v>0.3</v>
      </c>
      <c r="Z8" s="158" t="s">
        <v>479</v>
      </c>
      <c r="AA8" s="145"/>
      <c r="AB8" s="258"/>
      <c r="AC8" s="259"/>
      <c r="AD8" s="259"/>
      <c r="AE8" s="259"/>
      <c r="AF8" s="259"/>
      <c r="AG8" s="259"/>
      <c r="AH8" s="259"/>
      <c r="AI8" s="260"/>
      <c r="AJ8" s="146"/>
      <c r="AO8" s="144" t="e">
        <f>D7</f>
        <v>#REF!</v>
      </c>
      <c r="AP8" s="145">
        <f>I4</f>
        <v>59</v>
      </c>
      <c r="AQ8" s="145"/>
      <c r="AR8" s="145"/>
      <c r="AS8" s="146"/>
    </row>
    <row r="9" spans="1:45" ht="19.5" customHeight="1" thickBot="1">
      <c r="A9" s="144"/>
      <c r="B9" s="147" t="s">
        <v>298</v>
      </c>
      <c r="C9" s="147" t="s">
        <v>299</v>
      </c>
      <c r="D9" s="149" t="e">
        <f>D7/I3</f>
        <v>#REF!</v>
      </c>
      <c r="E9" s="147"/>
      <c r="F9" s="145"/>
      <c r="G9" s="147" t="s">
        <v>265</v>
      </c>
      <c r="H9" s="147" t="s">
        <v>266</v>
      </c>
      <c r="I9" s="149">
        <f>諸元!M14*1000</f>
        <v>1261.0437426833105</v>
      </c>
      <c r="J9" s="147" t="s">
        <v>155</v>
      </c>
      <c r="K9" s="145"/>
      <c r="L9" s="147" t="s">
        <v>396</v>
      </c>
      <c r="M9" s="147" t="s">
        <v>534</v>
      </c>
      <c r="N9" s="148">
        <v>200</v>
      </c>
      <c r="O9" s="147" t="s">
        <v>155</v>
      </c>
      <c r="P9" s="145"/>
      <c r="Q9" s="147" t="s">
        <v>262</v>
      </c>
      <c r="R9" s="147" t="s">
        <v>516</v>
      </c>
      <c r="S9" s="147" t="e">
        <f>S5+(S4/3)*(1+((1-(I3/S3))/(1-(I3/S3)^2)))</f>
        <v>#REF!</v>
      </c>
      <c r="T9" s="147" t="s">
        <v>155</v>
      </c>
      <c r="U9" s="145"/>
      <c r="V9" s="145"/>
      <c r="W9" s="164" t="s">
        <v>276</v>
      </c>
      <c r="X9" s="165" t="s">
        <v>517</v>
      </c>
      <c r="Y9" s="165" t="e">
        <f>D12+S7+I14</f>
        <v>#REF!</v>
      </c>
      <c r="Z9" s="166" t="s">
        <v>480</v>
      </c>
      <c r="AA9" s="145"/>
      <c r="AB9" s="258"/>
      <c r="AC9" s="259"/>
      <c r="AD9" s="259"/>
      <c r="AE9" s="259"/>
      <c r="AF9" s="259"/>
      <c r="AG9" s="259"/>
      <c r="AH9" s="259"/>
      <c r="AI9" s="260"/>
      <c r="AJ9" s="146"/>
      <c r="AO9" s="144" t="e">
        <f>AO8</f>
        <v>#REF!</v>
      </c>
      <c r="AP9" s="145">
        <f>-AP8</f>
        <v>-59</v>
      </c>
      <c r="AQ9" s="145"/>
      <c r="AR9" s="248" t="s">
        <v>356</v>
      </c>
      <c r="AS9" s="252"/>
    </row>
    <row r="10" spans="1:45" ht="19.5" customHeight="1" thickBot="1">
      <c r="A10" s="144"/>
      <c r="B10" s="147" t="s">
        <v>300</v>
      </c>
      <c r="C10" s="147"/>
      <c r="D10" s="149" t="e">
        <f>IF(D3=1,2/3,IF(D3=2,1-((8*D9^2/3)+((4*D9^2-1)^2/4)-(((4*D9^2-1)*(4*D9^2+1)^2/(16*D9))*ASIN(4*D9/(4*D9^2+1)))),0))</f>
        <v>#REF!</v>
      </c>
      <c r="E10" s="147"/>
      <c r="F10" s="145"/>
      <c r="G10" s="147" t="s">
        <v>268</v>
      </c>
      <c r="H10" s="147" t="s">
        <v>269</v>
      </c>
      <c r="I10" s="149">
        <f>諸元!M15*1000</f>
        <v>1253.9966945921135</v>
      </c>
      <c r="J10" s="147" t="s">
        <v>155</v>
      </c>
      <c r="K10" s="145"/>
      <c r="L10" s="147" t="s">
        <v>286</v>
      </c>
      <c r="M10" s="147" t="s">
        <v>287</v>
      </c>
      <c r="N10" s="148">
        <v>40</v>
      </c>
      <c r="O10" s="147" t="s">
        <v>155</v>
      </c>
      <c r="P10" s="145"/>
      <c r="U10" s="145"/>
      <c r="V10" s="145"/>
      <c r="W10" s="156"/>
      <c r="X10" s="157"/>
      <c r="Y10" s="157"/>
      <c r="Z10" s="158"/>
      <c r="AA10" s="145"/>
      <c r="AB10" s="258"/>
      <c r="AC10" s="259"/>
      <c r="AD10" s="259"/>
      <c r="AE10" s="259"/>
      <c r="AF10" s="259"/>
      <c r="AG10" s="259"/>
      <c r="AH10" s="259"/>
      <c r="AI10" s="260"/>
      <c r="AJ10" s="146"/>
      <c r="AO10" s="144">
        <v>0</v>
      </c>
      <c r="AP10" s="145">
        <v>0</v>
      </c>
      <c r="AQ10" s="145"/>
      <c r="AR10" s="145" t="s">
        <v>488</v>
      </c>
      <c r="AS10" s="146" t="s">
        <v>489</v>
      </c>
    </row>
    <row r="11" spans="1:45" ht="19.5" customHeight="1" thickBot="1">
      <c r="A11" s="144"/>
      <c r="B11" s="147"/>
      <c r="C11" s="147"/>
      <c r="D11" s="147"/>
      <c r="E11" s="147"/>
      <c r="F11" s="145"/>
      <c r="G11" s="145"/>
      <c r="H11" s="145"/>
      <c r="I11" s="145"/>
      <c r="J11" s="145"/>
      <c r="K11" s="145"/>
      <c r="L11" s="147" t="s">
        <v>372</v>
      </c>
      <c r="M11" s="147" t="s">
        <v>49</v>
      </c>
      <c r="N11" s="148">
        <v>100</v>
      </c>
      <c r="O11" s="147" t="s">
        <v>155</v>
      </c>
      <c r="P11" s="145"/>
      <c r="Q11" s="176" t="s">
        <v>279</v>
      </c>
      <c r="R11" s="177" t="s">
        <v>280</v>
      </c>
      <c r="S11" s="177" t="e">
        <f>(D12*D14+S7*S9+I14*I16)/Y9</f>
        <v>#REF!</v>
      </c>
      <c r="T11" s="178" t="s">
        <v>475</v>
      </c>
      <c r="U11" s="145"/>
      <c r="V11" s="145"/>
      <c r="W11" s="164"/>
      <c r="X11" s="165"/>
      <c r="Y11" s="165"/>
      <c r="Z11" s="166"/>
      <c r="AA11" s="145"/>
      <c r="AB11" s="261"/>
      <c r="AC11" s="262"/>
      <c r="AD11" s="262"/>
      <c r="AE11" s="262"/>
      <c r="AF11" s="262"/>
      <c r="AG11" s="262"/>
      <c r="AH11" s="262"/>
      <c r="AI11" s="263"/>
      <c r="AJ11" s="146"/>
      <c r="AO11" s="144"/>
      <c r="AP11" s="145"/>
      <c r="AQ11" s="145"/>
      <c r="AR11" s="145" t="e">
        <f>S11</f>
        <v>#REF!</v>
      </c>
      <c r="AS11" s="146">
        <v>0</v>
      </c>
    </row>
    <row r="12" spans="1:45" ht="19.5" customHeight="1">
      <c r="A12" s="144"/>
      <c r="B12" s="147" t="s">
        <v>247</v>
      </c>
      <c r="C12" s="147" t="s">
        <v>518</v>
      </c>
      <c r="D12" s="147">
        <v>2</v>
      </c>
      <c r="E12" s="147" t="s">
        <v>399</v>
      </c>
      <c r="F12" s="145"/>
      <c r="G12" s="147" t="s">
        <v>267</v>
      </c>
      <c r="H12" s="147" t="s">
        <v>519</v>
      </c>
      <c r="I12" s="147">
        <f>4*N3*(N12/I3)^2/(1+SQRT(1+(2*N15/(N9+N10))^2))</f>
        <v>6.4549056039928523</v>
      </c>
      <c r="J12" s="147" t="s">
        <v>399</v>
      </c>
      <c r="K12" s="145"/>
      <c r="L12" s="147" t="s">
        <v>288</v>
      </c>
      <c r="M12" s="147" t="s">
        <v>289</v>
      </c>
      <c r="N12" s="148">
        <v>120</v>
      </c>
      <c r="O12" s="147" t="s">
        <v>155</v>
      </c>
      <c r="P12" s="145"/>
      <c r="Q12" s="145" t="s">
        <v>476</v>
      </c>
      <c r="R12" s="145"/>
      <c r="S12" s="145" t="e">
        <f>S11-I9</f>
        <v>#REF!</v>
      </c>
      <c r="T12" s="145" t="s">
        <v>155</v>
      </c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6"/>
      <c r="AO12" s="144"/>
      <c r="AP12" s="145"/>
      <c r="AQ12" s="145"/>
      <c r="AR12" s="145"/>
      <c r="AS12" s="146"/>
    </row>
    <row r="13" spans="1:45" ht="19.5" customHeight="1">
      <c r="A13" s="144"/>
      <c r="B13" s="147" t="s">
        <v>343</v>
      </c>
      <c r="C13" s="147" t="s">
        <v>520</v>
      </c>
      <c r="D13" s="147">
        <f>D12/2</f>
        <v>1</v>
      </c>
      <c r="E13" s="147"/>
      <c r="F13" s="145"/>
      <c r="G13" s="147" t="s">
        <v>270</v>
      </c>
      <c r="H13" s="147" t="s">
        <v>521</v>
      </c>
      <c r="I13" s="147">
        <f>1+I4/(N12+I4)</f>
        <v>1.3296089385474861</v>
      </c>
      <c r="J13" s="147"/>
      <c r="K13" s="145"/>
      <c r="L13" s="147" t="s">
        <v>442</v>
      </c>
      <c r="M13" s="147" t="s">
        <v>458</v>
      </c>
      <c r="N13" s="147">
        <f>RADIANS(90)-ATAN(N12/N11)</f>
        <v>0.69473827619670314</v>
      </c>
      <c r="O13" s="147" t="s">
        <v>291</v>
      </c>
      <c r="P13" s="145"/>
      <c r="Q13" s="143" t="s">
        <v>529</v>
      </c>
      <c r="S13" s="186">
        <f>I9/I5</f>
        <v>0.5887225689464568</v>
      </c>
      <c r="U13" s="145"/>
      <c r="V13" s="145"/>
      <c r="AF13" s="145"/>
      <c r="AG13" s="145"/>
      <c r="AH13" s="145"/>
      <c r="AI13" s="145"/>
      <c r="AJ13" s="146"/>
      <c r="AO13" s="247" t="s">
        <v>492</v>
      </c>
      <c r="AP13" s="248"/>
      <c r="AQ13" s="145"/>
      <c r="AR13" s="248" t="s">
        <v>355</v>
      </c>
      <c r="AS13" s="252"/>
    </row>
    <row r="14" spans="1:45" ht="19.5" customHeight="1">
      <c r="A14" s="144"/>
      <c r="B14" s="147" t="s">
        <v>253</v>
      </c>
      <c r="C14" s="147" t="s">
        <v>523</v>
      </c>
      <c r="D14" s="147" t="e">
        <f>D7*D10</f>
        <v>#REF!</v>
      </c>
      <c r="E14" s="147" t="s">
        <v>155</v>
      </c>
      <c r="F14" s="145"/>
      <c r="G14" s="147" t="s">
        <v>271</v>
      </c>
      <c r="H14" s="147" t="s">
        <v>524</v>
      </c>
      <c r="I14" s="147">
        <f>I12*I13</f>
        <v>8.5825001885491563</v>
      </c>
      <c r="J14" s="147" t="s">
        <v>399</v>
      </c>
      <c r="K14" s="145"/>
      <c r="L14" s="147"/>
      <c r="M14" s="147"/>
      <c r="N14" s="147">
        <f>DEGREES(N13)</f>
        <v>39.80557109226519</v>
      </c>
      <c r="O14" s="147" t="s">
        <v>535</v>
      </c>
      <c r="P14" s="145"/>
      <c r="Q14" s="145" t="s">
        <v>530</v>
      </c>
      <c r="R14" s="145"/>
      <c r="S14" s="187" t="e">
        <f>S11/I5</f>
        <v>#REF!</v>
      </c>
      <c r="T14" s="145"/>
      <c r="U14" s="145"/>
      <c r="V14" s="145"/>
      <c r="W14" s="145" t="s">
        <v>320</v>
      </c>
      <c r="AF14" s="145"/>
      <c r="AG14" s="249" t="s">
        <v>357</v>
      </c>
      <c r="AH14" s="250"/>
      <c r="AI14" s="251"/>
      <c r="AJ14" s="146"/>
      <c r="AO14" s="144" t="s">
        <v>488</v>
      </c>
      <c r="AP14" s="145" t="s">
        <v>489</v>
      </c>
      <c r="AQ14" s="145"/>
      <c r="AR14" s="145" t="s">
        <v>488</v>
      </c>
      <c r="AS14" s="146" t="s">
        <v>489</v>
      </c>
    </row>
    <row r="15" spans="1:45" ht="19.5" customHeight="1">
      <c r="A15" s="144"/>
      <c r="B15" s="145"/>
      <c r="C15" s="145"/>
      <c r="D15" s="145"/>
      <c r="E15" s="145"/>
      <c r="F15" s="145"/>
      <c r="G15" s="147" t="s">
        <v>345</v>
      </c>
      <c r="H15" s="147" t="s">
        <v>525</v>
      </c>
      <c r="I15" s="147">
        <f>I14/2</f>
        <v>4.2912500942745782</v>
      </c>
      <c r="J15" s="147"/>
      <c r="K15" s="145"/>
      <c r="L15" s="147"/>
      <c r="M15" s="147" t="s">
        <v>292</v>
      </c>
      <c r="N15" s="149">
        <f>SQRT(((N9/2)-(N10/2))^2+N12^2)</f>
        <v>144.22205101855957</v>
      </c>
      <c r="O15" s="147" t="s">
        <v>155</v>
      </c>
      <c r="P15" s="145"/>
      <c r="U15" s="145"/>
      <c r="V15" s="145"/>
      <c r="W15" s="145" t="s">
        <v>326</v>
      </c>
      <c r="AF15" s="145"/>
      <c r="AG15" s="240" t="s">
        <v>248</v>
      </c>
      <c r="AH15" s="170" t="s">
        <v>255</v>
      </c>
      <c r="AI15" s="171"/>
      <c r="AJ15" s="146"/>
      <c r="AO15" s="144" t="e">
        <f>D7</f>
        <v>#REF!</v>
      </c>
      <c r="AP15" s="145">
        <f>I4</f>
        <v>59</v>
      </c>
      <c r="AQ15" s="145"/>
      <c r="AR15" s="145">
        <v>0</v>
      </c>
      <c r="AS15" s="146">
        <v>0</v>
      </c>
    </row>
    <row r="16" spans="1:45" ht="19.5" customHeight="1">
      <c r="A16" s="144"/>
      <c r="F16" s="145"/>
      <c r="G16" s="147" t="s">
        <v>274</v>
      </c>
      <c r="H16" s="147" t="s">
        <v>509</v>
      </c>
      <c r="I16" s="147" t="e">
        <f>N6+(N11*(N9+2*N10)/(3*(N9+N10)))+(N9+N10-(N9*N10/(N9+N10)))/6</f>
        <v>#REF!</v>
      </c>
      <c r="J16" s="147" t="s">
        <v>155</v>
      </c>
      <c r="K16" s="145"/>
      <c r="L16" s="145"/>
      <c r="M16" s="145"/>
      <c r="N16" s="145"/>
      <c r="O16" s="145"/>
      <c r="P16" s="145"/>
      <c r="Q16" s="147" t="s">
        <v>481</v>
      </c>
      <c r="R16" s="147" t="s">
        <v>522</v>
      </c>
      <c r="S16" s="147" t="e">
        <f>Y9/2</f>
        <v>#REF!</v>
      </c>
      <c r="T16" s="145"/>
      <c r="U16" s="145"/>
      <c r="V16" s="145"/>
      <c r="W16" s="145"/>
      <c r="X16" s="145"/>
      <c r="Y16" s="145"/>
      <c r="AF16" s="145"/>
      <c r="AG16" s="253"/>
      <c r="AH16" s="145" t="s">
        <v>266</v>
      </c>
      <c r="AI16" s="163"/>
      <c r="AJ16" s="146"/>
      <c r="AO16" s="144" t="e">
        <f>I5-S4</f>
        <v>#REF!</v>
      </c>
      <c r="AP16" s="145">
        <f>AP15</f>
        <v>59</v>
      </c>
      <c r="AQ16" s="145"/>
      <c r="AR16" s="145">
        <f>N9</f>
        <v>200</v>
      </c>
      <c r="AS16" s="146">
        <f>AS15</f>
        <v>0</v>
      </c>
    </row>
    <row r="17" spans="1:45" ht="19.5" customHeight="1">
      <c r="A17" s="144"/>
      <c r="F17" s="145"/>
      <c r="K17" s="145"/>
      <c r="L17" s="145"/>
      <c r="M17" s="145"/>
      <c r="N17" s="145"/>
      <c r="O17" s="145"/>
      <c r="P17" s="145"/>
      <c r="Q17" s="167"/>
      <c r="R17" s="167"/>
      <c r="S17" s="167"/>
      <c r="T17" s="145"/>
      <c r="U17" s="145"/>
      <c r="V17" s="145"/>
      <c r="W17" s="249" t="s">
        <v>319</v>
      </c>
      <c r="X17" s="250"/>
      <c r="Y17" s="251"/>
      <c r="AF17" s="145"/>
      <c r="AG17" s="253"/>
      <c r="AH17" s="145" t="s">
        <v>358</v>
      </c>
      <c r="AI17" s="163"/>
      <c r="AJ17" s="146"/>
      <c r="AO17" s="144" t="e">
        <f>AO16</f>
        <v>#REF!</v>
      </c>
      <c r="AP17" s="145">
        <f>-AP16</f>
        <v>-59</v>
      </c>
      <c r="AQ17" s="145"/>
      <c r="AR17" s="145">
        <f>AR16</f>
        <v>200</v>
      </c>
      <c r="AS17" s="146">
        <f>N12</f>
        <v>120</v>
      </c>
    </row>
    <row r="18" spans="1:45" ht="19.5" customHeight="1">
      <c r="A18" s="144"/>
      <c r="F18" s="145"/>
      <c r="K18" s="145"/>
      <c r="L18" s="145"/>
      <c r="M18" s="145"/>
      <c r="N18" s="145"/>
      <c r="O18" s="145"/>
      <c r="P18" s="145"/>
      <c r="Q18" s="168" t="s">
        <v>248</v>
      </c>
      <c r="R18" s="168"/>
      <c r="S18" s="168"/>
      <c r="T18" s="145"/>
      <c r="U18" s="145"/>
      <c r="V18" s="145"/>
      <c r="W18" s="169" t="s">
        <v>249</v>
      </c>
      <c r="X18" s="170" t="s">
        <v>250</v>
      </c>
      <c r="Y18" s="171"/>
      <c r="AF18" s="145"/>
      <c r="AG18" s="253"/>
      <c r="AH18" s="145" t="s">
        <v>258</v>
      </c>
      <c r="AI18" s="163"/>
      <c r="AJ18" s="146"/>
      <c r="AO18" s="144" t="e">
        <f>AO15</f>
        <v>#REF!</v>
      </c>
      <c r="AP18" s="145">
        <f>AP17</f>
        <v>-59</v>
      </c>
      <c r="AQ18" s="145"/>
      <c r="AR18" s="145">
        <f>N11</f>
        <v>100</v>
      </c>
      <c r="AS18" s="146">
        <f>AS17</f>
        <v>120</v>
      </c>
    </row>
    <row r="19" spans="1:45" ht="19.5" customHeight="1">
      <c r="A19" s="144"/>
      <c r="F19" s="145"/>
      <c r="G19" s="147" t="s">
        <v>531</v>
      </c>
      <c r="H19" s="147" t="s">
        <v>402</v>
      </c>
      <c r="I19" s="147">
        <v>224</v>
      </c>
      <c r="J19" s="147" t="s">
        <v>374</v>
      </c>
      <c r="K19" s="145"/>
      <c r="L19" s="145"/>
      <c r="M19" s="145"/>
      <c r="N19" s="145"/>
      <c r="O19" s="145"/>
      <c r="P19" s="145"/>
      <c r="Q19" s="172" t="s">
        <v>254</v>
      </c>
      <c r="R19" s="172" t="s">
        <v>482</v>
      </c>
      <c r="S19" s="172" t="e">
        <f>(S11-I8)/I3</f>
        <v>#REF!</v>
      </c>
      <c r="T19" s="145"/>
      <c r="U19" s="145"/>
      <c r="V19" s="145"/>
      <c r="W19" s="162">
        <v>1.6</v>
      </c>
      <c r="X19" s="145">
        <v>1.8</v>
      </c>
      <c r="Y19" s="163"/>
      <c r="AF19" s="145"/>
      <c r="AG19" s="253"/>
      <c r="AH19" s="145" t="s">
        <v>266</v>
      </c>
      <c r="AI19" s="163"/>
      <c r="AJ19" s="146"/>
      <c r="AO19" s="144" t="e">
        <f>AO15</f>
        <v>#REF!</v>
      </c>
      <c r="AP19" s="145">
        <f>AP15</f>
        <v>59</v>
      </c>
      <c r="AQ19" s="145"/>
      <c r="AR19" s="145">
        <f>AR18-N11</f>
        <v>0</v>
      </c>
      <c r="AS19" s="146">
        <v>0</v>
      </c>
    </row>
    <row r="20" spans="1:45" ht="19.5" customHeight="1">
      <c r="A20" s="144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72" t="s">
        <v>257</v>
      </c>
      <c r="R20" s="172" t="s">
        <v>483</v>
      </c>
      <c r="S20" s="172" t="e">
        <f>100*(S11-I8)/I5</f>
        <v>#REF!</v>
      </c>
      <c r="T20" s="145"/>
      <c r="U20" s="145"/>
      <c r="V20" s="145"/>
      <c r="W20" s="162">
        <v>14</v>
      </c>
      <c r="X20" s="145">
        <v>16</v>
      </c>
      <c r="Y20" s="163"/>
      <c r="AF20" s="145"/>
      <c r="AG20" s="253"/>
      <c r="AH20" s="145" t="s">
        <v>358</v>
      </c>
      <c r="AI20" s="163"/>
      <c r="AJ20" s="146"/>
      <c r="AO20" s="144"/>
      <c r="AP20" s="145"/>
      <c r="AQ20" s="145"/>
      <c r="AR20" s="145">
        <f>AR15</f>
        <v>0</v>
      </c>
      <c r="AS20" s="146">
        <f>AS15</f>
        <v>0</v>
      </c>
    </row>
    <row r="21" spans="1:45" ht="19.5" customHeight="1">
      <c r="A21" s="144"/>
      <c r="F21" s="145"/>
      <c r="K21" s="145"/>
      <c r="L21" s="145"/>
      <c r="M21" s="145"/>
      <c r="N21" s="145"/>
      <c r="O21" s="145"/>
      <c r="P21" s="145"/>
      <c r="Q21" s="167"/>
      <c r="R21" s="167"/>
      <c r="S21" s="167"/>
      <c r="T21" s="145"/>
      <c r="U21" s="145"/>
      <c r="V21" s="145"/>
      <c r="W21" s="162"/>
      <c r="X21" s="145"/>
      <c r="Y21" s="163"/>
      <c r="AF21" s="145"/>
      <c r="AG21" s="162"/>
      <c r="AH21" s="145"/>
      <c r="AI21" s="163"/>
      <c r="AJ21" s="146"/>
      <c r="AO21" s="247" t="s">
        <v>493</v>
      </c>
      <c r="AP21" s="248"/>
      <c r="AQ21" s="145"/>
      <c r="AR21" s="145"/>
      <c r="AS21" s="146"/>
    </row>
    <row r="22" spans="1:45" ht="19.5" customHeight="1">
      <c r="A22" s="144"/>
      <c r="F22" s="145"/>
      <c r="K22" s="145"/>
      <c r="L22" s="145"/>
      <c r="M22" s="145"/>
      <c r="N22" s="145"/>
      <c r="O22" s="145"/>
      <c r="P22" s="145"/>
      <c r="Q22" s="168" t="s">
        <v>277</v>
      </c>
      <c r="R22" s="168"/>
      <c r="S22" s="168"/>
      <c r="T22" s="145"/>
      <c r="U22" s="145"/>
      <c r="V22" s="145"/>
      <c r="W22" s="162"/>
      <c r="X22" s="145"/>
      <c r="Y22" s="163"/>
      <c r="AF22" s="145"/>
      <c r="AG22" s="253" t="s">
        <v>277</v>
      </c>
      <c r="AH22" s="145" t="s">
        <v>255</v>
      </c>
      <c r="AI22" s="163">
        <v>1.3</v>
      </c>
      <c r="AJ22" s="146"/>
      <c r="AO22" s="144" t="s">
        <v>494</v>
      </c>
      <c r="AP22" s="145" t="s">
        <v>495</v>
      </c>
      <c r="AQ22" s="145"/>
      <c r="AR22" s="145"/>
      <c r="AS22" s="146"/>
    </row>
    <row r="23" spans="1:45" ht="19.5" customHeight="1">
      <c r="A23" s="144"/>
      <c r="F23" s="145"/>
      <c r="K23" s="145"/>
      <c r="L23" s="145"/>
      <c r="M23" s="145"/>
      <c r="N23" s="145"/>
      <c r="O23" s="145"/>
      <c r="P23" s="145"/>
      <c r="Q23" s="172" t="s">
        <v>317</v>
      </c>
      <c r="R23" s="172" t="s">
        <v>255</v>
      </c>
      <c r="S23" s="172" t="e">
        <f>(S11-I9)/I3</f>
        <v>#REF!</v>
      </c>
      <c r="T23" s="145">
        <v>1.3</v>
      </c>
      <c r="U23" s="145">
        <v>1.7</v>
      </c>
      <c r="V23" s="145"/>
      <c r="W23" s="162">
        <v>1.5</v>
      </c>
      <c r="X23" s="145" t="s">
        <v>281</v>
      </c>
      <c r="Y23" s="163"/>
      <c r="AF23" s="145"/>
      <c r="AG23" s="253"/>
      <c r="AH23" s="145" t="s">
        <v>266</v>
      </c>
      <c r="AI23" s="163" t="e">
        <f>-(AI22*$I$3-$Y$7)</f>
        <v>#REF!</v>
      </c>
      <c r="AJ23" s="146"/>
      <c r="AO23" s="144" t="e">
        <f>AO16</f>
        <v>#REF!</v>
      </c>
      <c r="AP23" s="145">
        <f>AP16</f>
        <v>59</v>
      </c>
      <c r="AQ23" s="145"/>
      <c r="AR23" s="248" t="s">
        <v>496</v>
      </c>
      <c r="AS23" s="252"/>
    </row>
    <row r="24" spans="1:45" ht="19.5" customHeight="1">
      <c r="A24" s="144"/>
      <c r="F24" s="145"/>
      <c r="K24" s="145"/>
      <c r="L24" s="145"/>
      <c r="M24" s="145"/>
      <c r="N24" s="145"/>
      <c r="O24" s="145"/>
      <c r="P24" s="145"/>
      <c r="Q24" s="172" t="s">
        <v>318</v>
      </c>
      <c r="R24" s="172" t="s">
        <v>485</v>
      </c>
      <c r="S24" s="172" t="e">
        <f>(S11-I9)/I5*100</f>
        <v>#REF!</v>
      </c>
      <c r="T24" s="145">
        <v>12</v>
      </c>
      <c r="U24" s="145">
        <v>15</v>
      </c>
      <c r="V24" s="145"/>
      <c r="W24" s="153">
        <v>10.6</v>
      </c>
      <c r="X24" s="154" t="s">
        <v>283</v>
      </c>
      <c r="Y24" s="155"/>
      <c r="AF24" s="145"/>
      <c r="AG24" s="253"/>
      <c r="AH24" s="145" t="s">
        <v>358</v>
      </c>
      <c r="AI24" s="163" t="e">
        <f>$I$9-AI23</f>
        <v>#REF!</v>
      </c>
      <c r="AJ24" s="146"/>
      <c r="AO24" s="144" t="e">
        <f>AO23+S4</f>
        <v>#REF!</v>
      </c>
      <c r="AP24" s="145" t="e">
        <f>S3/2</f>
        <v>#REF!</v>
      </c>
      <c r="AQ24" s="145"/>
      <c r="AR24" s="145" t="s">
        <v>494</v>
      </c>
      <c r="AS24" s="146" t="s">
        <v>495</v>
      </c>
    </row>
    <row r="25" spans="1:45" ht="19.5" customHeight="1">
      <c r="A25" s="144"/>
      <c r="F25" s="145"/>
      <c r="K25" s="145"/>
      <c r="L25" s="145"/>
      <c r="M25" s="145"/>
      <c r="N25" s="145"/>
      <c r="O25" s="145"/>
      <c r="P25" s="145"/>
      <c r="Q25" s="167" t="s">
        <v>346</v>
      </c>
      <c r="R25" s="167" t="s">
        <v>526</v>
      </c>
      <c r="S25" s="167" t="e">
        <f>2*$S$16*S24/100</f>
        <v>#REF!</v>
      </c>
      <c r="T25" s="145"/>
      <c r="U25" s="145"/>
      <c r="V25" s="145"/>
      <c r="W25" s="145"/>
      <c r="X25" s="145"/>
      <c r="Y25" s="145"/>
      <c r="AF25" s="145"/>
      <c r="AG25" s="253"/>
      <c r="AH25" s="145" t="s">
        <v>258</v>
      </c>
      <c r="AI25" s="163">
        <v>12</v>
      </c>
      <c r="AJ25" s="146"/>
      <c r="AO25" s="144" t="e">
        <f>AO24</f>
        <v>#REF!</v>
      </c>
      <c r="AP25" s="145" t="e">
        <f>-AP24</f>
        <v>#REF!</v>
      </c>
      <c r="AQ25" s="145"/>
      <c r="AR25" s="145">
        <v>0</v>
      </c>
      <c r="AS25" s="146">
        <v>0</v>
      </c>
    </row>
    <row r="26" spans="1:45" ht="19.5" customHeight="1">
      <c r="A26" s="144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67" t="s">
        <v>347</v>
      </c>
      <c r="R26" s="167" t="s">
        <v>527</v>
      </c>
      <c r="S26" s="167" t="e">
        <f>-4*(($D$13*(($D$14-$I9)/$I$5)^2)+($S$8*(($S$9-$I9)/$I$5)^2)+($I$15*(($I$16-$I9)/$I$5)^2))</f>
        <v>#REF!</v>
      </c>
      <c r="T26" s="145"/>
      <c r="U26" s="145"/>
      <c r="V26" s="145"/>
      <c r="W26" s="145"/>
      <c r="X26" s="145"/>
      <c r="Y26" s="145"/>
      <c r="AF26" s="145"/>
      <c r="AG26" s="253"/>
      <c r="AH26" s="145" t="s">
        <v>266</v>
      </c>
      <c r="AI26" s="163" t="e">
        <f>-(AI25/100*$I$5-$Y$7)</f>
        <v>#REF!</v>
      </c>
      <c r="AJ26" s="146"/>
      <c r="AO26" s="144" t="e">
        <f>AO23</f>
        <v>#REF!</v>
      </c>
      <c r="AP26" s="145">
        <f>-AP23</f>
        <v>-59</v>
      </c>
      <c r="AQ26" s="145"/>
      <c r="AR26" s="145">
        <f>I4</f>
        <v>59</v>
      </c>
      <c r="AS26" s="146">
        <f>-I4*TAN(N13)</f>
        <v>-49.166666666666664</v>
      </c>
    </row>
    <row r="27" spans="1:45" ht="19.5" customHeight="1">
      <c r="A27" s="144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 t="s">
        <v>464</v>
      </c>
      <c r="X27" s="145"/>
      <c r="Y27" s="145"/>
      <c r="Z27" s="145"/>
      <c r="AF27" s="145"/>
      <c r="AG27" s="253"/>
      <c r="AH27" s="145" t="s">
        <v>358</v>
      </c>
      <c r="AI27" s="163" t="e">
        <f>$I$9-AI26</f>
        <v>#REF!</v>
      </c>
      <c r="AJ27" s="146"/>
      <c r="AO27" s="144" t="e">
        <f>AO23</f>
        <v>#REF!</v>
      </c>
      <c r="AP27" s="145">
        <f>AP23</f>
        <v>59</v>
      </c>
      <c r="AQ27" s="145"/>
      <c r="AR27" s="145">
        <f>AR26+N12</f>
        <v>179</v>
      </c>
      <c r="AS27" s="146">
        <f>AS26-N11</f>
        <v>-149.16666666666666</v>
      </c>
    </row>
    <row r="28" spans="1:45" ht="19.5" customHeight="1">
      <c r="A28" s="144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68" t="s">
        <v>293</v>
      </c>
      <c r="R28" s="168"/>
      <c r="S28" s="168"/>
      <c r="T28" s="145"/>
      <c r="U28" s="145"/>
      <c r="V28" s="145"/>
      <c r="W28" s="143" t="s">
        <v>450</v>
      </c>
      <c r="X28" s="143" t="s">
        <v>449</v>
      </c>
      <c r="Y28" s="143">
        <f>N10</f>
        <v>40</v>
      </c>
      <c r="AF28" s="145"/>
      <c r="AG28" s="162"/>
      <c r="AH28" s="145"/>
      <c r="AI28" s="163"/>
      <c r="AJ28" s="146"/>
      <c r="AO28" s="144"/>
      <c r="AP28" s="145"/>
      <c r="AQ28" s="145"/>
      <c r="AR28" s="145">
        <f>AR27</f>
        <v>179</v>
      </c>
      <c r="AS28" s="146">
        <f>AS27-N10</f>
        <v>-189.16666666666666</v>
      </c>
    </row>
    <row r="29" spans="1:45" ht="19.5" customHeight="1">
      <c r="A29" s="144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72" t="s">
        <v>317</v>
      </c>
      <c r="R29" s="172" t="s">
        <v>255</v>
      </c>
      <c r="S29" s="172" t="e">
        <f>(S11-I10)/I3</f>
        <v>#REF!</v>
      </c>
      <c r="T29" s="145">
        <v>1.2</v>
      </c>
      <c r="U29" s="145" t="s">
        <v>283</v>
      </c>
      <c r="V29" s="145"/>
      <c r="W29" s="143" t="s">
        <v>451</v>
      </c>
      <c r="X29" s="143" t="s">
        <v>448</v>
      </c>
      <c r="Y29" s="143">
        <f>N9</f>
        <v>200</v>
      </c>
      <c r="AF29" s="145"/>
      <c r="AG29" s="253" t="s">
        <v>359</v>
      </c>
      <c r="AH29" s="145" t="s">
        <v>255</v>
      </c>
      <c r="AI29" s="163">
        <v>1.2</v>
      </c>
      <c r="AJ29" s="146"/>
      <c r="AO29" s="247" t="s">
        <v>499</v>
      </c>
      <c r="AP29" s="248"/>
      <c r="AQ29" s="145"/>
      <c r="AR29" s="145">
        <f>AR28-(N12)</f>
        <v>59</v>
      </c>
      <c r="AS29" s="146">
        <f>AS28</f>
        <v>-189.16666666666666</v>
      </c>
    </row>
    <row r="30" spans="1:45" ht="19.5" customHeight="1">
      <c r="A30" s="144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72" t="s">
        <v>318</v>
      </c>
      <c r="R30" s="172" t="s">
        <v>485</v>
      </c>
      <c r="S30" s="172" t="e">
        <f>(S11-I10)/I5*100</f>
        <v>#REF!</v>
      </c>
      <c r="T30" s="145">
        <v>11</v>
      </c>
      <c r="U30" s="145" t="s">
        <v>283</v>
      </c>
      <c r="V30" s="145"/>
      <c r="W30" s="145" t="s">
        <v>397</v>
      </c>
      <c r="X30" s="145" t="s">
        <v>379</v>
      </c>
      <c r="Y30" s="167">
        <f>(N12+I4)*Y29*(1+Y33)</f>
        <v>42960</v>
      </c>
      <c r="Z30" s="145" t="s">
        <v>377</v>
      </c>
      <c r="AA30" s="145"/>
      <c r="AB30" s="145"/>
      <c r="AF30" s="145"/>
      <c r="AG30" s="253"/>
      <c r="AH30" s="145" t="s">
        <v>266</v>
      </c>
      <c r="AI30" s="163" t="e">
        <f>-(AI29*$I$3-$Y$7)</f>
        <v>#REF!</v>
      </c>
      <c r="AJ30" s="146"/>
      <c r="AO30" s="144" t="s">
        <v>500</v>
      </c>
      <c r="AP30" s="145" t="s">
        <v>501</v>
      </c>
      <c r="AQ30" s="145"/>
      <c r="AR30" s="145">
        <v>0</v>
      </c>
      <c r="AS30" s="146">
        <f>AS29</f>
        <v>-189.16666666666666</v>
      </c>
    </row>
    <row r="31" spans="1:45" ht="19.5" customHeight="1">
      <c r="A31" s="144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67" t="s">
        <v>346</v>
      </c>
      <c r="R31" s="167" t="s">
        <v>526</v>
      </c>
      <c r="S31" s="167" t="e">
        <f>2*$S$16*S30/100</f>
        <v>#REF!</v>
      </c>
      <c r="T31" s="145"/>
      <c r="U31" s="145"/>
      <c r="V31" s="145"/>
      <c r="W31" s="145" t="s">
        <v>378</v>
      </c>
      <c r="X31" s="145" t="s">
        <v>381</v>
      </c>
      <c r="Y31" s="145">
        <f>4*(N12+I4)/(Y29*(1+Y33))</f>
        <v>2.9833333333333334</v>
      </c>
      <c r="Z31" s="145"/>
      <c r="AA31" s="145"/>
      <c r="AB31" s="145"/>
      <c r="AF31" s="145"/>
      <c r="AG31" s="253"/>
      <c r="AH31" s="145" t="s">
        <v>358</v>
      </c>
      <c r="AI31" s="163" t="e">
        <f>$I$10-AI30</f>
        <v>#REF!</v>
      </c>
      <c r="AJ31" s="146"/>
      <c r="AO31" s="144" t="e">
        <f t="shared" ref="AO31:AO36" si="0">AR15+$N$6</f>
        <v>#REF!</v>
      </c>
      <c r="AP31" s="145">
        <f t="shared" ref="AP31:AP36" si="1">AS15+$I$4</f>
        <v>59</v>
      </c>
      <c r="AQ31" s="145"/>
      <c r="AR31" s="145">
        <v>0</v>
      </c>
      <c r="AS31" s="146">
        <f>AS30</f>
        <v>-189.16666666666666</v>
      </c>
    </row>
    <row r="32" spans="1:45" ht="19.5" customHeight="1">
      <c r="A32" s="144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67" t="s">
        <v>347</v>
      </c>
      <c r="R32" s="167" t="s">
        <v>527</v>
      </c>
      <c r="S32" s="167" t="e">
        <f>-4*(($D$13*(($D$14-$I10)/$I$5)^2)+($S$8*(($S$9-$I10)/$I$5)^2)+($I$15*(($I$16-$I10)/$I$5)^2))</f>
        <v>#REF!</v>
      </c>
      <c r="T32" s="145"/>
      <c r="U32" s="145"/>
      <c r="V32" s="145"/>
      <c r="W32" s="145" t="s">
        <v>392</v>
      </c>
      <c r="X32" s="145" t="s">
        <v>393</v>
      </c>
      <c r="Y32" s="145">
        <f>0.8*Y31</f>
        <v>2.3866666666666667</v>
      </c>
      <c r="Z32" s="145"/>
      <c r="AA32" s="145"/>
      <c r="AB32" s="145"/>
      <c r="AF32" s="145"/>
      <c r="AG32" s="253"/>
      <c r="AH32" s="145" t="s">
        <v>258</v>
      </c>
      <c r="AI32" s="163">
        <v>11</v>
      </c>
      <c r="AJ32" s="146"/>
      <c r="AO32" s="144" t="e">
        <f t="shared" si="0"/>
        <v>#REF!</v>
      </c>
      <c r="AP32" s="145">
        <f t="shared" si="1"/>
        <v>59</v>
      </c>
      <c r="AQ32" s="145"/>
      <c r="AR32" s="145">
        <f>-AR30</f>
        <v>0</v>
      </c>
      <c r="AS32" s="146">
        <f>AS30</f>
        <v>-189.16666666666666</v>
      </c>
    </row>
    <row r="33" spans="1:45" ht="19.5" customHeight="1">
      <c r="A33" s="144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 t="s">
        <v>380</v>
      </c>
      <c r="X33" s="145" t="s">
        <v>387</v>
      </c>
      <c r="Y33" s="145">
        <f>Y28/Y29</f>
        <v>0.2</v>
      </c>
      <c r="Z33" s="145"/>
      <c r="AA33" s="145"/>
      <c r="AB33" s="145"/>
      <c r="AF33" s="145"/>
      <c r="AG33" s="253"/>
      <c r="AH33" s="145" t="s">
        <v>266</v>
      </c>
      <c r="AI33" s="163" t="e">
        <f>-(AI32/100*$I$5-$Y$7)</f>
        <v>#REF!</v>
      </c>
      <c r="AJ33" s="146"/>
      <c r="AO33" s="144" t="e">
        <f t="shared" si="0"/>
        <v>#REF!</v>
      </c>
      <c r="AP33" s="145">
        <f t="shared" si="1"/>
        <v>179</v>
      </c>
      <c r="AQ33" s="145"/>
      <c r="AR33" s="145">
        <f>-AR29</f>
        <v>-59</v>
      </c>
      <c r="AS33" s="146">
        <f>AS29</f>
        <v>-189.16666666666666</v>
      </c>
    </row>
    <row r="34" spans="1:45" ht="19.5" customHeight="1">
      <c r="A34" s="144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 t="s">
        <v>382</v>
      </c>
      <c r="X34" s="145" t="s">
        <v>385</v>
      </c>
      <c r="Y34" s="145">
        <f>N12*(1+2*Y33)/(3*(1+Y33))</f>
        <v>46.666666666666671</v>
      </c>
      <c r="Z34" s="145" t="s">
        <v>155</v>
      </c>
      <c r="AA34" s="145"/>
      <c r="AB34" s="145"/>
      <c r="AF34" s="145"/>
      <c r="AG34" s="254"/>
      <c r="AH34" s="154" t="s">
        <v>358</v>
      </c>
      <c r="AI34" s="155" t="e">
        <f>$I$10-AI33</f>
        <v>#REF!</v>
      </c>
      <c r="AJ34" s="146"/>
      <c r="AO34" s="144" t="e">
        <f t="shared" si="0"/>
        <v>#REF!</v>
      </c>
      <c r="AP34" s="145">
        <f t="shared" si="1"/>
        <v>179</v>
      </c>
      <c r="AQ34" s="145"/>
      <c r="AR34" s="145">
        <f>-AR28</f>
        <v>-179</v>
      </c>
      <c r="AS34" s="146">
        <f>AS28</f>
        <v>-189.16666666666666</v>
      </c>
    </row>
    <row r="35" spans="1:45" ht="19.5" customHeight="1">
      <c r="A35" s="144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 t="s">
        <v>383</v>
      </c>
      <c r="X35" s="145" t="s">
        <v>384</v>
      </c>
      <c r="Y35" s="145">
        <f>2/3*Y29*(1+(Y33^2/(1+Y33)))</f>
        <v>137.77777777777777</v>
      </c>
      <c r="Z35" s="145" t="s">
        <v>155</v>
      </c>
      <c r="AA35" s="145"/>
      <c r="AF35" s="145"/>
      <c r="AG35" s="145"/>
      <c r="AH35" s="145"/>
      <c r="AI35" s="145"/>
      <c r="AJ35" s="146"/>
      <c r="AO35" s="144" t="e">
        <f t="shared" si="0"/>
        <v>#REF!</v>
      </c>
      <c r="AP35" s="145">
        <f t="shared" si="1"/>
        <v>59</v>
      </c>
      <c r="AQ35" s="145"/>
      <c r="AR35" s="145">
        <f>-AR27</f>
        <v>-179</v>
      </c>
      <c r="AS35" s="146">
        <f>AS27</f>
        <v>-149.16666666666666</v>
      </c>
    </row>
    <row r="36" spans="1:45" ht="19.5" customHeight="1">
      <c r="A36" s="144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67" t="s">
        <v>388</v>
      </c>
      <c r="X36" s="167" t="s">
        <v>389</v>
      </c>
      <c r="Y36" s="167">
        <v>4</v>
      </c>
      <c r="Z36" s="145" t="s">
        <v>155</v>
      </c>
      <c r="AA36" s="145"/>
      <c r="AF36" s="145"/>
      <c r="AG36" s="145"/>
      <c r="AH36" s="145"/>
      <c r="AI36" s="145"/>
      <c r="AJ36" s="146"/>
      <c r="AO36" s="144" t="e">
        <f t="shared" si="0"/>
        <v>#REF!</v>
      </c>
      <c r="AP36" s="145">
        <f t="shared" si="1"/>
        <v>59</v>
      </c>
      <c r="AQ36" s="145"/>
      <c r="AR36" s="145">
        <f>-AR26</f>
        <v>-59</v>
      </c>
      <c r="AS36" s="146">
        <f>AS26</f>
        <v>-49.166666666666664</v>
      </c>
    </row>
    <row r="37" spans="1:45" ht="19.5" customHeight="1">
      <c r="A37" s="144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67" t="s">
        <v>394</v>
      </c>
      <c r="X37" s="167" t="s">
        <v>390</v>
      </c>
      <c r="Y37" s="145">
        <f>100*Y36/Y35</f>
        <v>2.903225806451613</v>
      </c>
      <c r="Z37" s="145" t="s">
        <v>391</v>
      </c>
      <c r="AA37" s="145"/>
      <c r="AF37" s="145"/>
      <c r="AG37" s="145"/>
      <c r="AH37" s="145"/>
      <c r="AI37" s="145"/>
      <c r="AJ37" s="146"/>
      <c r="AO37" s="144"/>
      <c r="AP37" s="145"/>
      <c r="AQ37" s="145"/>
      <c r="AR37" s="145">
        <f>-AR25</f>
        <v>0</v>
      </c>
      <c r="AS37" s="146">
        <f>AS25</f>
        <v>0</v>
      </c>
    </row>
    <row r="38" spans="1:45" ht="19.5" customHeight="1">
      <c r="A38" s="144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 t="s">
        <v>395</v>
      </c>
      <c r="X38" s="145" t="s">
        <v>390</v>
      </c>
      <c r="Y38" s="145">
        <f>100*Y36/Y29</f>
        <v>2</v>
      </c>
      <c r="Z38" s="145" t="s">
        <v>391</v>
      </c>
      <c r="AA38" s="145"/>
      <c r="AF38" s="145"/>
      <c r="AG38" s="145"/>
      <c r="AH38" s="145"/>
      <c r="AI38" s="145"/>
      <c r="AJ38" s="146"/>
      <c r="AO38" s="247" t="s">
        <v>502</v>
      </c>
      <c r="AP38" s="248"/>
      <c r="AQ38" s="145"/>
      <c r="AR38" s="145"/>
      <c r="AS38" s="146"/>
    </row>
    <row r="39" spans="1:45" ht="19.5" customHeight="1">
      <c r="A39" s="144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 t="s">
        <v>463</v>
      </c>
      <c r="X39" s="145" t="s">
        <v>462</v>
      </c>
      <c r="Y39" s="145">
        <f>100*Y36/Y28</f>
        <v>10</v>
      </c>
      <c r="Z39" s="145" t="s">
        <v>216</v>
      </c>
      <c r="AA39" s="145"/>
      <c r="AF39" s="145"/>
      <c r="AG39" s="145"/>
      <c r="AH39" s="145"/>
      <c r="AI39" s="145"/>
      <c r="AJ39" s="146"/>
      <c r="AO39" s="144" t="s">
        <v>488</v>
      </c>
      <c r="AP39" s="145" t="s">
        <v>489</v>
      </c>
      <c r="AQ39" s="145"/>
      <c r="AR39" s="145">
        <f>AR26</f>
        <v>59</v>
      </c>
      <c r="AS39" s="146">
        <f>AS26</f>
        <v>-49.166666666666664</v>
      </c>
    </row>
    <row r="40" spans="1:45" ht="19.5" customHeight="1">
      <c r="A40" s="144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AA40" s="145"/>
      <c r="AF40" s="145"/>
      <c r="AG40" s="145"/>
      <c r="AH40" s="145"/>
      <c r="AI40" s="145"/>
      <c r="AJ40" s="146"/>
      <c r="AO40" s="144" t="e">
        <f t="shared" ref="AO40:AO45" si="2">AO31</f>
        <v>#REF!</v>
      </c>
      <c r="AP40" s="145">
        <f>-AP31</f>
        <v>-59</v>
      </c>
      <c r="AQ40" s="145"/>
      <c r="AR40" s="145">
        <f>AR39</f>
        <v>59</v>
      </c>
      <c r="AS40" s="146">
        <f>AS30</f>
        <v>-189.16666666666666</v>
      </c>
    </row>
    <row r="41" spans="1:45" ht="19.5" customHeight="1">
      <c r="A41" s="144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AA41" s="145"/>
      <c r="AF41" s="145"/>
      <c r="AG41" s="145"/>
      <c r="AH41" s="145"/>
      <c r="AI41" s="145"/>
      <c r="AJ41" s="146"/>
      <c r="AO41" s="144" t="e">
        <f t="shared" si="2"/>
        <v>#REF!</v>
      </c>
      <c r="AP41" s="145">
        <f>-AP32</f>
        <v>-59</v>
      </c>
      <c r="AQ41" s="145"/>
      <c r="AR41" s="145">
        <f>AR36</f>
        <v>-59</v>
      </c>
      <c r="AS41" s="146">
        <f>AS36</f>
        <v>-49.166666666666664</v>
      </c>
    </row>
    <row r="42" spans="1:45" ht="19.5" customHeight="1">
      <c r="A42" s="144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AA42" s="145"/>
      <c r="AF42" s="145"/>
      <c r="AG42" s="145"/>
      <c r="AH42" s="145"/>
      <c r="AI42" s="145"/>
      <c r="AJ42" s="146"/>
      <c r="AO42" s="144" t="e">
        <f t="shared" si="2"/>
        <v>#REF!</v>
      </c>
      <c r="AP42" s="145">
        <f>-AP33</f>
        <v>-179</v>
      </c>
      <c r="AQ42" s="145"/>
      <c r="AR42" s="145">
        <f>AR41</f>
        <v>-59</v>
      </c>
      <c r="AS42" s="146">
        <f>AS32</f>
        <v>-189.16666666666666</v>
      </c>
    </row>
    <row r="43" spans="1:45" ht="19.5" customHeight="1">
      <c r="A43" s="144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AA43" s="145"/>
      <c r="AF43" s="145"/>
      <c r="AG43" s="145"/>
      <c r="AH43" s="145"/>
      <c r="AI43" s="145"/>
      <c r="AJ43" s="146"/>
      <c r="AO43" s="144" t="e">
        <f t="shared" si="2"/>
        <v>#REF!</v>
      </c>
      <c r="AP43" s="145">
        <f>-AP34</f>
        <v>-179</v>
      </c>
      <c r="AQ43" s="145"/>
      <c r="AR43" s="145"/>
      <c r="AS43" s="146"/>
    </row>
    <row r="44" spans="1:45" ht="19.5" customHeight="1">
      <c r="A44" s="144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AA44" s="145"/>
      <c r="AF44" s="145"/>
      <c r="AG44" s="145"/>
      <c r="AH44" s="145"/>
      <c r="AI44" s="145"/>
      <c r="AJ44" s="146"/>
      <c r="AO44" s="144" t="e">
        <f t="shared" si="2"/>
        <v>#REF!</v>
      </c>
      <c r="AP44" s="145">
        <f t="shared" ref="AP44:AP45" si="3">-AP35</f>
        <v>-59</v>
      </c>
      <c r="AQ44" s="145"/>
      <c r="AR44" s="145"/>
      <c r="AS44" s="146"/>
    </row>
    <row r="45" spans="1:45" ht="19.5" customHeight="1">
      <c r="A45" s="144"/>
      <c r="B45" s="145" t="s">
        <v>503</v>
      </c>
      <c r="C45" s="145" t="s">
        <v>403</v>
      </c>
      <c r="D45" s="145" t="e">
        <f>D74</f>
        <v>#REF!</v>
      </c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Z45" s="145"/>
      <c r="AA45" s="145"/>
      <c r="AF45" s="145"/>
      <c r="AG45" s="145"/>
      <c r="AH45" s="145"/>
      <c r="AI45" s="145"/>
      <c r="AJ45" s="146"/>
      <c r="AO45" s="144" t="e">
        <f t="shared" si="2"/>
        <v>#REF!</v>
      </c>
      <c r="AP45" s="145">
        <f t="shared" si="3"/>
        <v>-59</v>
      </c>
      <c r="AQ45" s="145"/>
      <c r="AR45" s="145"/>
      <c r="AS45" s="146"/>
    </row>
    <row r="46" spans="1:45" ht="19.5" customHeight="1" thickBot="1">
      <c r="A46" s="144"/>
      <c r="B46" s="145" t="s">
        <v>404</v>
      </c>
      <c r="C46" s="145" t="s">
        <v>402</v>
      </c>
      <c r="D46" s="145">
        <f>I19</f>
        <v>224</v>
      </c>
      <c r="E46" s="145" t="s">
        <v>374</v>
      </c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F46" s="145"/>
      <c r="AG46" s="145"/>
      <c r="AH46" s="145"/>
      <c r="AI46" s="145"/>
      <c r="AJ46" s="146"/>
      <c r="AO46" s="179"/>
      <c r="AP46" s="180"/>
      <c r="AQ46" s="180"/>
      <c r="AR46" s="180"/>
      <c r="AS46" s="181"/>
    </row>
    <row r="47" spans="1:45" ht="19.5" customHeight="1">
      <c r="A47" s="144"/>
      <c r="B47" s="145"/>
      <c r="C47" s="145" t="s">
        <v>401</v>
      </c>
      <c r="D47" s="145">
        <f>D46/340</f>
        <v>0.6588235294117647</v>
      </c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F47" s="145"/>
      <c r="AG47" s="145"/>
      <c r="AH47" s="145"/>
      <c r="AI47" s="145"/>
      <c r="AJ47" s="146"/>
    </row>
    <row r="48" spans="1:45" ht="19.5" customHeight="1">
      <c r="A48" s="144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6"/>
    </row>
    <row r="49" spans="1:36" ht="19.5" customHeight="1" thickBot="1">
      <c r="A49" s="179"/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1"/>
    </row>
    <row r="53" spans="1:36" ht="19.5" customHeight="1">
      <c r="B53" s="240" t="s">
        <v>438</v>
      </c>
      <c r="C53" s="241"/>
      <c r="D53" s="241"/>
      <c r="E53" s="242"/>
    </row>
    <row r="54" spans="1:36" ht="19.5" customHeight="1">
      <c r="B54" s="162" t="s">
        <v>407</v>
      </c>
      <c r="C54" s="145" t="s">
        <v>409</v>
      </c>
      <c r="D54" s="145">
        <f>諸元!F44</f>
        <v>15</v>
      </c>
      <c r="E54" s="163" t="s">
        <v>408</v>
      </c>
    </row>
    <row r="55" spans="1:36" ht="19.5" customHeight="1">
      <c r="B55" s="162" t="s">
        <v>410</v>
      </c>
      <c r="C55" s="145" t="s">
        <v>411</v>
      </c>
      <c r="D55" s="145">
        <f>18.2*((273+20+117)/(273.15+D54+117))*((273.15+D54)/(273+20))^(3/2)*10^-6</f>
        <v>1.7962463837350092E-5</v>
      </c>
      <c r="E55" s="163" t="s">
        <v>414</v>
      </c>
    </row>
    <row r="56" spans="1:36" ht="19.5" customHeight="1">
      <c r="B56" s="162" t="s">
        <v>413</v>
      </c>
      <c r="C56" s="145" t="s">
        <v>412</v>
      </c>
      <c r="D56" s="145">
        <f>D55/1.2</f>
        <v>1.496871986445841E-5</v>
      </c>
      <c r="E56" s="163" t="s">
        <v>415</v>
      </c>
    </row>
    <row r="57" spans="1:36" ht="19.5" customHeight="1">
      <c r="B57" s="162" t="s">
        <v>417</v>
      </c>
      <c r="C57" s="145" t="s">
        <v>416</v>
      </c>
      <c r="D57" s="145">
        <f>(I3*D46)/D56</f>
        <v>1765815663.5531604</v>
      </c>
      <c r="E57" s="163"/>
    </row>
    <row r="58" spans="1:36" ht="19.5" customHeight="1">
      <c r="B58" s="162" t="s">
        <v>419</v>
      </c>
      <c r="C58" s="145" t="s">
        <v>418</v>
      </c>
      <c r="D58" s="145">
        <f>0.455/((LOG10(D57))^2.58)-1700/D57</f>
        <v>1.4636938427949129E-3</v>
      </c>
      <c r="E58" s="163"/>
    </row>
    <row r="59" spans="1:36" ht="19.5" customHeight="1">
      <c r="B59" s="162"/>
      <c r="C59" s="145"/>
      <c r="D59" s="145"/>
      <c r="E59" s="163"/>
    </row>
    <row r="60" spans="1:36" ht="19.5" customHeight="1">
      <c r="B60" s="162"/>
      <c r="C60" s="145"/>
      <c r="D60" s="145"/>
      <c r="E60" s="163"/>
    </row>
    <row r="61" spans="1:36" ht="19.5" customHeight="1">
      <c r="B61" s="162" t="s">
        <v>420</v>
      </c>
      <c r="C61" s="145" t="s">
        <v>376</v>
      </c>
      <c r="D61" s="145" t="e">
        <f>I3*PI()*I5+諸元!#REF!</f>
        <v>#REF!</v>
      </c>
      <c r="E61" s="163" t="s">
        <v>377</v>
      </c>
    </row>
    <row r="62" spans="1:36" ht="19.5" customHeight="1">
      <c r="B62" s="162"/>
      <c r="C62" s="145"/>
      <c r="D62" s="145"/>
      <c r="E62" s="163"/>
    </row>
    <row r="63" spans="1:36" ht="19.5" customHeight="1">
      <c r="B63" s="162"/>
      <c r="C63" s="145"/>
      <c r="D63" s="145"/>
      <c r="E63" s="163"/>
    </row>
    <row r="64" spans="1:36" ht="19.5" customHeight="1">
      <c r="B64" s="162" t="s">
        <v>423</v>
      </c>
      <c r="C64" s="145"/>
      <c r="D64" s="145">
        <f>10^(-1.4-LOG(D57)/(LOG(10))*0.16)</f>
        <v>1.3197410991132629E-3</v>
      </c>
      <c r="E64" s="163"/>
    </row>
    <row r="65" spans="2:5" ht="19.5" customHeight="1">
      <c r="B65" s="182" t="s">
        <v>422</v>
      </c>
      <c r="C65" s="183" t="s">
        <v>436</v>
      </c>
      <c r="D65" s="183" t="e">
        <f>1.02*D64*D61/(I3^2*PI()/4)*(1+(1.5/(I6^(3/2))))</f>
        <v>#REF!</v>
      </c>
      <c r="E65" s="163"/>
    </row>
    <row r="66" spans="2:5" ht="19.5" customHeight="1">
      <c r="B66" s="182" t="s">
        <v>421</v>
      </c>
      <c r="C66" s="183" t="s">
        <v>436</v>
      </c>
      <c r="D66" s="183" t="e">
        <f>0.029/SQRT(D65)*(S3/I3)^3</f>
        <v>#REF!</v>
      </c>
      <c r="E66" s="163"/>
    </row>
    <row r="67" spans="2:5" ht="19.5" customHeight="1">
      <c r="B67" s="162" t="s">
        <v>427</v>
      </c>
      <c r="C67" s="145"/>
      <c r="D67" s="145">
        <f>2*D58*(1+2*Y37/100)</f>
        <v>3.0973650350756866E-3</v>
      </c>
      <c r="E67" s="163"/>
    </row>
    <row r="68" spans="2:5" ht="19.5" customHeight="1">
      <c r="B68" s="162" t="s">
        <v>375</v>
      </c>
      <c r="C68" s="145" t="s">
        <v>424</v>
      </c>
      <c r="D68" s="145">
        <f>(1.2*PI()*(N12/10^3)^2*D46)^2*D46</f>
        <v>33123.122950956524</v>
      </c>
      <c r="E68" s="163"/>
    </row>
    <row r="69" spans="2:5" ht="19.5" customHeight="1">
      <c r="B69" s="162" t="s">
        <v>432</v>
      </c>
      <c r="C69" s="145" t="s">
        <v>425</v>
      </c>
      <c r="D69" s="145">
        <f>2*D68/(1.2*D46^2*Y30)</f>
        <v>2.5610597864168441E-5</v>
      </c>
      <c r="E69" s="163"/>
    </row>
    <row r="70" spans="2:5" ht="19.5" customHeight="1">
      <c r="B70" s="162" t="s">
        <v>433</v>
      </c>
      <c r="C70" s="145" t="s">
        <v>426</v>
      </c>
      <c r="D70" s="145">
        <f>D69^2/PI()*Y32</f>
        <v>4.9828903300882591E-10</v>
      </c>
      <c r="E70" s="163"/>
    </row>
    <row r="71" spans="2:5" ht="19.5" customHeight="1">
      <c r="B71" s="162" t="s">
        <v>434</v>
      </c>
      <c r="C71" s="145" t="s">
        <v>435</v>
      </c>
      <c r="D71" s="145">
        <f>D67/((I3/10^3)^2*PI()/4)*0.5*(N9/10^3*N12/10^3*2)*N3</f>
        <v>2.7190032614570845E-2</v>
      </c>
      <c r="E71" s="163"/>
    </row>
    <row r="72" spans="2:5" ht="19.5" customHeight="1">
      <c r="B72" s="182" t="s">
        <v>429</v>
      </c>
      <c r="C72" s="183" t="s">
        <v>428</v>
      </c>
      <c r="D72" s="183">
        <f>D70+D71</f>
        <v>2.7190033112859877E-2</v>
      </c>
      <c r="E72" s="163"/>
    </row>
    <row r="73" spans="2:5" ht="19.5" customHeight="1">
      <c r="B73" s="182" t="s">
        <v>430</v>
      </c>
      <c r="C73" s="183"/>
      <c r="D73" s="183">
        <f>D71*(N9/10^3)/((I3/10^3)^2*PI()/4)*(I3/10^3)*0.5*N3</f>
        <v>0.11735398219495055</v>
      </c>
      <c r="E73" s="163"/>
    </row>
    <row r="74" spans="2:5" ht="19.5" customHeight="1">
      <c r="B74" s="184" t="s">
        <v>437</v>
      </c>
      <c r="C74" s="185" t="s">
        <v>403</v>
      </c>
      <c r="D74" s="185" t="e">
        <f>D65+D66+D72+D73</f>
        <v>#REF!</v>
      </c>
      <c r="E74" s="155"/>
    </row>
  </sheetData>
  <mergeCells count="20">
    <mergeCell ref="B1:J1"/>
    <mergeCell ref="L1:P1"/>
    <mergeCell ref="AB2:AI11"/>
    <mergeCell ref="W3:Z3"/>
    <mergeCell ref="AO3:AS3"/>
    <mergeCell ref="AO5:AP5"/>
    <mergeCell ref="AR5:AS5"/>
    <mergeCell ref="AR9:AS9"/>
    <mergeCell ref="AO13:AP13"/>
    <mergeCell ref="AR13:AS13"/>
    <mergeCell ref="AG14:AI14"/>
    <mergeCell ref="AG15:AG20"/>
    <mergeCell ref="W17:Y17"/>
    <mergeCell ref="B53:E53"/>
    <mergeCell ref="AO21:AP21"/>
    <mergeCell ref="AG22:AG27"/>
    <mergeCell ref="AR23:AS23"/>
    <mergeCell ref="AG29:AG34"/>
    <mergeCell ref="AO29:AP29"/>
    <mergeCell ref="AO38:AP38"/>
  </mergeCells>
  <phoneticPr fontId="13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programsheet</vt:lpstr>
      <vt:lpstr>諸元</vt:lpstr>
      <vt:lpstr>射場環境データ</vt:lpstr>
      <vt:lpstr>空力設計(設計)_後退翼</vt:lpstr>
      <vt:lpstr>重心測定</vt:lpstr>
      <vt:lpstr>空力設計(実測)_後退翼</vt:lpstr>
      <vt:lpstr>空力設計(設計)_台形翼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JumpeiOguro</dc:creator>
  <cp:lastModifiedBy>Tanaka_個別</cp:lastModifiedBy>
  <cp:lastPrinted>2013-10-25T17:26:27Z</cp:lastPrinted>
  <dcterms:created xsi:type="dcterms:W3CDTF">2013-10-23T17:58:39Z</dcterms:created>
  <dcterms:modified xsi:type="dcterms:W3CDTF">2016-09-22T09:54:36Z</dcterms:modified>
</cp:coreProperties>
</file>