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60" windowHeight="11460" activeTab="1"/>
  </bookViews>
  <sheets>
    <sheet name="RESULTS_nCaCO3" sheetId="1" r:id="rId1"/>
    <sheet name="RESULTS_BioAdditive" sheetId="5" r:id="rId2"/>
    <sheet name="Sheet1" sheetId="4" r:id="rId3"/>
    <sheet name="한국 일사량 Data" sheetId="2" r:id="rId4"/>
    <sheet name="PBR Cost Calculation" sheetId="3" r:id="rId5"/>
  </sheets>
  <definedNames>
    <definedName name="_xlnm._FilterDatabase" localSheetId="1" hidden="1">RESULTS_BioAdditive!$B$3:$H$3</definedName>
    <definedName name="_xlnm._FilterDatabase" localSheetId="0" hidden="1">RESULTS_nCaCO3!$B$3:$H$3</definedName>
    <definedName name="BioAdditive" localSheetId="1">RESULTS_BioAdditive!$B$4:$H$34</definedName>
    <definedName name="BioAdditive">RESULTS_nCaCO3!#REF!</definedName>
    <definedName name="nCaCo3" localSheetId="1">RESULTS_BioAdditive!#REF!</definedName>
    <definedName name="nCaCo3">RESULTS_nCaCO3!$B$4:$H$23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4" l="1"/>
  <c r="E23" i="4"/>
  <c r="E24" i="4"/>
  <c r="E25" i="4"/>
  <c r="E26" i="4"/>
  <c r="E27" i="4"/>
  <c r="E28" i="4"/>
  <c r="E29" i="4"/>
  <c r="E21" i="4"/>
  <c r="D22" i="4"/>
  <c r="D23" i="4"/>
  <c r="D24" i="4"/>
  <c r="D25" i="4"/>
  <c r="D26" i="4"/>
  <c r="D27" i="4"/>
  <c r="D28" i="4"/>
  <c r="D29" i="4"/>
  <c r="D21" i="4"/>
  <c r="E20" i="4"/>
  <c r="E19" i="4"/>
  <c r="K32" i="4"/>
  <c r="K28" i="4"/>
  <c r="K26" i="4"/>
  <c r="C14" i="3" l="1"/>
  <c r="F6" i="3"/>
  <c r="F7" i="3"/>
  <c r="F5" i="3"/>
  <c r="I17" i="3"/>
  <c r="I18" i="3"/>
  <c r="H18" i="3"/>
  <c r="G16" i="3"/>
  <c r="G13" i="3"/>
  <c r="G14" i="3" s="1"/>
  <c r="B7" i="3"/>
  <c r="C10" i="3" s="1"/>
  <c r="C13" i="3"/>
  <c r="C12" i="3"/>
  <c r="C15" i="3" l="1"/>
  <c r="D17" i="3" s="1"/>
  <c r="E14" i="3"/>
  <c r="E15" i="3" s="1"/>
  <c r="C15" i="2"/>
  <c r="C16" i="2"/>
  <c r="C17" i="2"/>
  <c r="C18" i="2"/>
  <c r="C19" i="2"/>
  <c r="C20" i="2"/>
  <c r="C21" i="2"/>
  <c r="C22" i="2"/>
  <c r="C23" i="2"/>
  <c r="C24" i="2"/>
  <c r="C25" i="2"/>
  <c r="C14" i="2"/>
  <c r="C17" i="3" l="1"/>
  <c r="D16" i="3"/>
  <c r="D22" i="2"/>
  <c r="E22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3" i="2"/>
  <c r="E23" i="2" s="1"/>
  <c r="D24" i="2"/>
  <c r="E24" i="2" s="1"/>
  <c r="D25" i="2"/>
  <c r="E25" i="2" s="1"/>
  <c r="D14" i="2"/>
  <c r="E14" i="2" s="1"/>
  <c r="K6" i="1" l="1"/>
  <c r="K5" i="1"/>
</calcChain>
</file>

<file path=xl/sharedStrings.xml><?xml version="1.0" encoding="utf-8"?>
<sst xmlns="http://schemas.openxmlformats.org/spreadsheetml/2006/main" count="238" uniqueCount="169">
  <si>
    <t>nCaCO3 Case Study</t>
    <phoneticPr fontId="2" type="noConversion"/>
  </si>
  <si>
    <t>X_17, Korean Grid Electricity Price</t>
    <phoneticPr fontId="2" type="noConversion"/>
  </si>
  <si>
    <t>X_18, Industrial Steam Price</t>
    <phoneticPr fontId="2" type="noConversion"/>
  </si>
  <si>
    <t>X_19, Korean Grid Electricity GWI</t>
    <phoneticPr fontId="2" type="noConversion"/>
  </si>
  <si>
    <t>X_20, Industrial Steam GWI</t>
    <phoneticPr fontId="2" type="noConversion"/>
  </si>
  <si>
    <t>%</t>
    <phoneticPr fontId="2" type="noConversion"/>
  </si>
  <si>
    <t>kWh/ton nCaCO3</t>
    <phoneticPr fontId="2" type="noConversion"/>
  </si>
  <si>
    <t>USD/unit</t>
    <phoneticPr fontId="2" type="noConversion"/>
  </si>
  <si>
    <t>USD/GJ</t>
    <phoneticPr fontId="2" type="noConversion"/>
  </si>
  <si>
    <t>kgCO2eq/GJ</t>
    <phoneticPr fontId="2" type="noConversion"/>
  </si>
  <si>
    <t>GSA (Total Sobol) Score</t>
    <phoneticPr fontId="2" type="noConversion"/>
  </si>
  <si>
    <t>n_sim</t>
    <phoneticPr fontId="2" type="noConversion"/>
  </si>
  <si>
    <t>Cost of Goods Manufactured</t>
    <phoneticPr fontId="2" type="noConversion"/>
  </si>
  <si>
    <t>CO2 GWI</t>
    <phoneticPr fontId="2" type="noConversion"/>
  </si>
  <si>
    <t>Stakeholder's Risk Score (kernel-GNB)</t>
    <phoneticPr fontId="2" type="noConversion"/>
  </si>
  <si>
    <t>Merged (Single Classifier)</t>
    <phoneticPr fontId="2" type="noConversion"/>
  </si>
  <si>
    <t>Sum of Sobol Score: COGM</t>
    <phoneticPr fontId="2" type="noConversion"/>
  </si>
  <si>
    <t>Sum of Sobol Score: CO2 GWI</t>
    <phoneticPr fontId="2" type="noConversion"/>
  </si>
  <si>
    <t>X_01, Faradaic Efficiency</t>
    <phoneticPr fontId="2" type="noConversion"/>
  </si>
  <si>
    <t>X_02, Electrolyzer Energy Demand</t>
    <phoneticPr fontId="2" type="noConversion"/>
  </si>
  <si>
    <t>X_03, Transportation Pump Cost</t>
    <phoneticPr fontId="2" type="noConversion"/>
  </si>
  <si>
    <t>X_04, Electrolyzer Cell Cost</t>
    <phoneticPr fontId="2" type="noConversion"/>
  </si>
  <si>
    <t>X_05, Cost fraction of Stack</t>
    <phoneticPr fontId="2" type="noConversion"/>
  </si>
  <si>
    <t>kWh/m2/day</t>
    <phoneticPr fontId="2" type="noConversion"/>
  </si>
  <si>
    <t>kJ/m2/s</t>
    <phoneticPr fontId="2" type="noConversion"/>
  </si>
  <si>
    <t>Watts/m^2</t>
    <phoneticPr fontId="2" type="noConversion"/>
  </si>
  <si>
    <t>Irradiance units (Watts/m^2) can be converted to photon content (μE/m^2*s) by using Planck's Equation</t>
    <phoneticPr fontId="2" type="noConversion"/>
  </si>
  <si>
    <t>https://blog.naver.com/haeu100/221222115290</t>
  </si>
  <si>
    <t>E = hc/λ</t>
    <phoneticPr fontId="2" type="noConversion"/>
  </si>
  <si>
    <t>h = Planck's Constant</t>
    <phoneticPr fontId="2" type="noConversion"/>
  </si>
  <si>
    <t>Joules/s</t>
    <phoneticPr fontId="2" type="noConversion"/>
  </si>
  <si>
    <t>c = Speed of Light</t>
    <phoneticPr fontId="2" type="noConversion"/>
  </si>
  <si>
    <t>m/s</t>
    <phoneticPr fontId="2" type="noConversion"/>
  </si>
  <si>
    <t>λ = Wavelength</t>
    <phoneticPr fontId="2" type="noConversion"/>
  </si>
  <si>
    <t>m (550nm used to convert a broad spectrum PAR sensor)</t>
    <phoneticPr fontId="2" type="noConversion"/>
  </si>
  <si>
    <t>PAR Conversion Reference:</t>
    <phoneticPr fontId="2" type="noConversion"/>
  </si>
  <si>
    <t>SEA-BIRD Scientific PAR Light Sensors Document</t>
    <phoneticPr fontId="2" type="noConversion"/>
  </si>
  <si>
    <r>
      <rPr>
        <b/>
        <sz val="11"/>
        <color theme="1"/>
        <rFont val="맑은 고딕"/>
        <family val="2"/>
        <scheme val="minor"/>
      </rPr>
      <t>Unit:</t>
    </r>
    <r>
      <rPr>
        <sz val="11"/>
        <color theme="1"/>
        <rFont val="맑은 고딕"/>
        <family val="2"/>
        <scheme val="minor"/>
      </rPr>
      <t xml:space="preserve"> μE/m^2*s, used for PAR (Photosynthetically Available Radiation)</t>
    </r>
    <phoneticPr fontId="2" type="noConversion"/>
  </si>
  <si>
    <r>
      <t xml:space="preserve">Data Source: </t>
    </r>
    <r>
      <rPr>
        <sz val="11"/>
        <color theme="1"/>
        <rFont val="맑은 고딕"/>
        <family val="2"/>
        <scheme val="minor"/>
      </rPr>
      <t>한국에너지기술연구원</t>
    </r>
    <phoneticPr fontId="2" type="noConversion"/>
  </si>
  <si>
    <r>
      <t xml:space="preserve">At 550nm, </t>
    </r>
    <r>
      <rPr>
        <b/>
        <sz val="11"/>
        <color rgb="FF202122"/>
        <rFont val="맑은 고딕"/>
        <family val="2"/>
        <scheme val="minor"/>
      </rPr>
      <t>E = 2.77E18 quanta/s/Watt</t>
    </r>
    <phoneticPr fontId="2" type="noConversion"/>
  </si>
  <si>
    <r>
      <t xml:space="preserve">Conversion from </t>
    </r>
    <r>
      <rPr>
        <b/>
        <sz val="11"/>
        <color theme="1"/>
        <rFont val="맑은 고딕"/>
        <family val="2"/>
        <scheme val="minor"/>
      </rPr>
      <t>Watts/m2</t>
    </r>
    <r>
      <rPr>
        <sz val="11"/>
        <color theme="1"/>
        <rFont val="맑은 고딕"/>
        <scheme val="minor"/>
      </rPr>
      <t xml:space="preserve"> to </t>
    </r>
    <r>
      <rPr>
        <b/>
        <sz val="11"/>
        <color theme="1"/>
        <rFont val="맑은 고딕"/>
        <family val="2"/>
        <scheme val="minor"/>
      </rPr>
      <t>μE/m^2*s</t>
    </r>
    <phoneticPr fontId="2" type="noConversion"/>
  </si>
  <si>
    <t xml:space="preserve">Watts/m2 </t>
    <phoneticPr fontId="2" type="noConversion"/>
  </si>
  <si>
    <t>x</t>
    <phoneticPr fontId="2" type="noConversion"/>
  </si>
  <si>
    <t>2.77 x 10^18 quanta/s-Watt</t>
  </si>
  <si>
    <t>1/6.022E23 E/quanta</t>
    <phoneticPr fontId="2" type="noConversion"/>
  </si>
  <si>
    <t>μE/m^2*s</t>
  </si>
  <si>
    <t>1E6 μE/E</t>
    <phoneticPr fontId="2" type="noConversion"/>
  </si>
  <si>
    <t>PBR Specs</t>
    <phoneticPr fontId="2" type="noConversion"/>
  </si>
  <si>
    <t>USD/m^3</t>
    <phoneticPr fontId="2" type="noConversion"/>
  </si>
  <si>
    <t>m^2/m^3</t>
    <phoneticPr fontId="2" type="noConversion"/>
  </si>
  <si>
    <t>m^2/m^3 (Settler)</t>
    <phoneticPr fontId="2" type="noConversion"/>
  </si>
  <si>
    <t>1 acre = 4046.86 m^2</t>
    <phoneticPr fontId="2" type="noConversion"/>
  </si>
  <si>
    <t>m^3 in each acre</t>
    <phoneticPr fontId="2" type="noConversion"/>
  </si>
  <si>
    <t>USD/acre</t>
    <phoneticPr fontId="2" type="noConversion"/>
  </si>
  <si>
    <t>Main PBR</t>
    <phoneticPr fontId="2" type="noConversion"/>
  </si>
  <si>
    <t>Piping &amp; Valves</t>
    <phoneticPr fontId="2" type="noConversion"/>
  </si>
  <si>
    <t>Field &amp; Electrical</t>
    <phoneticPr fontId="2" type="noConversion"/>
  </si>
  <si>
    <t>Greenhouse specs</t>
    <phoneticPr fontId="2" type="noConversion"/>
  </si>
  <si>
    <t>평당 가격</t>
    <phoneticPr fontId="2" type="noConversion"/>
  </si>
  <si>
    <t>USD/평</t>
    <phoneticPr fontId="2" type="noConversion"/>
  </si>
  <si>
    <t>평/Acre</t>
    <phoneticPr fontId="2" type="noConversion"/>
  </si>
  <si>
    <t>Acre당 가격 (low)</t>
    <phoneticPr fontId="2" type="noConversion"/>
  </si>
  <si>
    <t>REF: http://www.greenkeepers.co.kr/house/compare/facility</t>
    <phoneticPr fontId="2" type="noConversion"/>
  </si>
  <si>
    <t>Acre당 가격 (high)</t>
    <phoneticPr fontId="2" type="noConversion"/>
  </si>
  <si>
    <t>USD/Acre</t>
    <phoneticPr fontId="2" type="noConversion"/>
  </si>
  <si>
    <t>Uncertainty Range:</t>
    <phoneticPr fontId="2" type="noConversion"/>
  </si>
  <si>
    <t>1 Stdev</t>
    <phoneticPr fontId="2" type="noConversion"/>
  </si>
  <si>
    <t>USD/ton LDPE</t>
    <phoneticPr fontId="2" type="noConversion"/>
  </si>
  <si>
    <t>kg per m^3 PBR</t>
    <phoneticPr fontId="2" type="noConversion"/>
  </si>
  <si>
    <t>kg per acre</t>
    <phoneticPr fontId="2" type="noConversion"/>
  </si>
  <si>
    <t>year lifetime PBR Bags</t>
    <phoneticPr fontId="2" type="noConversion"/>
  </si>
  <si>
    <t>Cultivation Process (고려대 스펙)</t>
    <phoneticPr fontId="2" type="noConversion"/>
  </si>
  <si>
    <t>LDPE Costs  (고려대 스펙)</t>
    <phoneticPr fontId="2" type="noConversion"/>
  </si>
  <si>
    <t>USD/Acre (annual)</t>
    <phoneticPr fontId="2" type="noConversion"/>
  </si>
  <si>
    <t>Stakeholder's Decision Criteria for Sustainability Metrics</t>
    <phoneticPr fontId="2" type="noConversion"/>
  </si>
  <si>
    <t>nCaCO3 Process</t>
    <phoneticPr fontId="2" type="noConversion"/>
  </si>
  <si>
    <t>Technoeconomic Criteria (COGM)</t>
    <phoneticPr fontId="2" type="noConversion"/>
  </si>
  <si>
    <t>CO2 GWI Criteria</t>
    <phoneticPr fontId="2" type="noConversion"/>
  </si>
  <si>
    <t>USD/ton</t>
    <phoneticPr fontId="2" type="noConversion"/>
  </si>
  <si>
    <t>REF (재서 논문) Conventional calcined nCaCO3 from limestone, median cost</t>
    <phoneticPr fontId="2" type="noConversion"/>
  </si>
  <si>
    <t>REF (재서 논문) Conventional calcined nCaCO3 GWI</t>
    <phoneticPr fontId="2" type="noConversion"/>
  </si>
  <si>
    <t>Bio-additive Process</t>
    <phoneticPr fontId="2" type="noConversion"/>
  </si>
  <si>
    <t>30 - 105 - 150만원</t>
    <phoneticPr fontId="2" type="noConversion"/>
  </si>
  <si>
    <t>Acre당 가격 (median)</t>
    <phoneticPr fontId="2" type="noConversion"/>
  </si>
  <si>
    <t>Greenhouse &amp; Land</t>
    <phoneticPr fontId="2" type="noConversion"/>
  </si>
  <si>
    <t>Support Structure</t>
    <phoneticPr fontId="2" type="noConversion"/>
  </si>
  <si>
    <t>* PE, TPU, EVA등 다양한 고분자에 미세조류를 블랜딩 해보았을때</t>
    <phoneticPr fontId="2" type="noConversion"/>
  </si>
  <si>
    <t>* EVA와 미세조류의 블랜드가 가장 물성이 우수한거 뿐더러</t>
    <phoneticPr fontId="2" type="noConversion"/>
  </si>
  <si>
    <t xml:space="preserve">* EVA의 시장이 상당하기 때문에 EVA가 대체 물질로 선정되었다. </t>
    <phoneticPr fontId="2" type="noConversion"/>
  </si>
  <si>
    <t>* EVA의 국내 시장 단가가 1700 USD/ton으로 측정</t>
    <phoneticPr fontId="2" type="noConversion"/>
  </si>
  <si>
    <t>GWI of Ethylene Vinyl Acetate</t>
    <phoneticPr fontId="2" type="noConversion"/>
  </si>
  <si>
    <t>Ethylene Blend %</t>
    <phoneticPr fontId="2" type="noConversion"/>
  </si>
  <si>
    <t>Vinyl Acetate Blend %</t>
    <phoneticPr fontId="2" type="noConversion"/>
  </si>
  <si>
    <r>
      <t xml:space="preserve">REF: </t>
    </r>
    <r>
      <rPr>
        <sz val="11"/>
        <color theme="1"/>
        <rFont val="맑은 고딕"/>
        <scheme val="minor"/>
      </rPr>
      <t>Ethylene (cradle-to-gate, naptha)</t>
    </r>
    <phoneticPr fontId="2" type="noConversion"/>
  </si>
  <si>
    <t>G. Foster, Energies 12, 2019, 1958</t>
    <phoneticPr fontId="2" type="noConversion"/>
  </si>
  <si>
    <t>J. McKechnie, M. Pourbafrani, B. A. Saville, and H. L. MacLean, Environ. Res. Lett 10, 2015</t>
    <phoneticPr fontId="2" type="noConversion"/>
  </si>
  <si>
    <r>
      <t xml:space="preserve">REF: </t>
    </r>
    <r>
      <rPr>
        <sz val="11"/>
        <color theme="1"/>
        <rFont val="맑은 고딕"/>
        <family val="2"/>
        <scheme val="minor"/>
      </rPr>
      <t>Vinyl Acetate (cradle-to-gate)</t>
    </r>
    <phoneticPr fontId="2" type="noConversion"/>
  </si>
  <si>
    <t>Ecoinvent (see below)</t>
    <phoneticPr fontId="2" type="noConversion"/>
  </si>
  <si>
    <t xml:space="preserve">Inputs </t>
    <phoneticPr fontId="2" type="noConversion"/>
  </si>
  <si>
    <t>Acetic Acid</t>
    <phoneticPr fontId="2" type="noConversion"/>
  </si>
  <si>
    <t>kg/kg</t>
    <phoneticPr fontId="2" type="noConversion"/>
  </si>
  <si>
    <t>Electricity</t>
    <phoneticPr fontId="2" type="noConversion"/>
  </si>
  <si>
    <t>Ethylene</t>
    <phoneticPr fontId="2" type="noConversion"/>
  </si>
  <si>
    <t>kWh/kg</t>
    <phoneticPr fontId="2" type="noConversion"/>
  </si>
  <si>
    <t>Heat (NG)</t>
    <phoneticPr fontId="2" type="noConversion"/>
  </si>
  <si>
    <t>MJ/kg</t>
    <phoneticPr fontId="2" type="noConversion"/>
  </si>
  <si>
    <t>LNO2</t>
    <phoneticPr fontId="2" type="noConversion"/>
  </si>
  <si>
    <t>Outputs</t>
    <phoneticPr fontId="2" type="noConversion"/>
  </si>
  <si>
    <t>CO2</t>
    <phoneticPr fontId="2" type="noConversion"/>
  </si>
  <si>
    <t>kgCO2eq/kg</t>
    <phoneticPr fontId="2" type="noConversion"/>
  </si>
  <si>
    <t>Source: Europa CU Common Materials GWI DB</t>
    <phoneticPr fontId="2" type="noConversion"/>
  </si>
  <si>
    <t>kgCO2eq/kWh</t>
    <phoneticPr fontId="2" type="noConversion"/>
  </si>
  <si>
    <t>Source: Uncertainty Kernel Data</t>
    <phoneticPr fontId="2" type="noConversion"/>
  </si>
  <si>
    <t>Source: See above</t>
    <phoneticPr fontId="2" type="noConversion"/>
  </si>
  <si>
    <t>kgCO2eq/MJ</t>
    <phoneticPr fontId="2" type="noConversion"/>
  </si>
  <si>
    <t>Source: Winnipeg Plant Emission DB</t>
    <phoneticPr fontId="2" type="noConversion"/>
  </si>
  <si>
    <t>Total GWI
kgCO2eq/kg</t>
    <phoneticPr fontId="2" type="noConversion"/>
  </si>
  <si>
    <t>REF (A very risk averse criteria considering GWI of EVA ranges from 1.9 to 2.2)</t>
    <phoneticPr fontId="2" type="noConversion"/>
  </si>
  <si>
    <t>REF (Conventional Import cost of EVA in Korea is $1700/ton, but due to 물성 저하 there is an incentive of $100/ton)</t>
    <phoneticPr fontId="2" type="noConversion"/>
  </si>
  <si>
    <t>BioAdditive Case Study</t>
    <phoneticPr fontId="2" type="noConversion"/>
  </si>
  <si>
    <t>X_01, Avg. Weight per 10^9 Cells</t>
    <phoneticPr fontId="2" type="noConversion"/>
  </si>
  <si>
    <t>X_02, Maximum Specific Growth Rate</t>
    <phoneticPr fontId="2" type="noConversion"/>
  </si>
  <si>
    <t>X_03, Vol. Mass Transfer Coeff.</t>
    <phoneticPr fontId="2" type="noConversion"/>
  </si>
  <si>
    <t>X_04, CO2 Partial Pressure in FG</t>
    <phoneticPr fontId="2" type="noConversion"/>
  </si>
  <si>
    <t>X_05, Daylight Fraction %</t>
    <phoneticPr fontId="2" type="noConversion"/>
  </si>
  <si>
    <t>X_06, Solar Irradiance</t>
    <phoneticPr fontId="2" type="noConversion"/>
  </si>
  <si>
    <t>X_07, Biomass Recovery (Harvest/Dewater)</t>
    <phoneticPr fontId="2" type="noConversion"/>
  </si>
  <si>
    <t>X_08, Biomass Concentration @ Dewater</t>
    <phoneticPr fontId="2" type="noConversion"/>
  </si>
  <si>
    <t>X_09, EQ: Cultivation Plant Cost</t>
    <phoneticPr fontId="2" type="noConversion"/>
  </si>
  <si>
    <t>X_06, EQ: Heat Exchanger (CS &amp; SUS304) Cost</t>
    <phoneticPr fontId="2" type="noConversion"/>
  </si>
  <si>
    <t>X_07, EQ: Heater Cost</t>
    <phoneticPr fontId="2" type="noConversion"/>
  </si>
  <si>
    <t>X_08, EQ: MIE Reactor Cost</t>
    <phoneticPr fontId="2" type="noConversion"/>
  </si>
  <si>
    <t>X_09, EQ: Filter Cost</t>
    <phoneticPr fontId="2" type="noConversion"/>
  </si>
  <si>
    <t>X_10, EQ: Centrifugal Blower Cost</t>
    <phoneticPr fontId="2" type="noConversion"/>
  </si>
  <si>
    <t>X_11, EQ: Drum Cost</t>
    <phoneticPr fontId="2" type="noConversion"/>
  </si>
  <si>
    <t>X_12, EQ: Centrifuge Cost</t>
    <phoneticPr fontId="2" type="noConversion"/>
  </si>
  <si>
    <t>X_13, EQ: Dryer Cost</t>
    <phoneticPr fontId="2" type="noConversion"/>
  </si>
  <si>
    <t>X_14, EQ: Crusher Cost</t>
    <phoneticPr fontId="2" type="noConversion"/>
  </si>
  <si>
    <t>X_15, EQ: Heat Exchanger (CS &amp; CS) Cost</t>
    <phoneticPr fontId="2" type="noConversion"/>
  </si>
  <si>
    <t>X_16, EQ: Condenser Cost</t>
    <phoneticPr fontId="2" type="noConversion"/>
  </si>
  <si>
    <t>X_13, EQ: Centr. Separator</t>
    <phoneticPr fontId="2" type="noConversion"/>
  </si>
  <si>
    <t>X_12, EQ: GM (Submersible) Pump</t>
    <phoneticPr fontId="2" type="noConversion"/>
  </si>
  <si>
    <t>X_11, EQ: Stock (Centrifugal) Pump</t>
    <phoneticPr fontId="2" type="noConversion"/>
  </si>
  <si>
    <t>X_10, EQ: FG (Centrifugal) Blower</t>
    <phoneticPr fontId="2" type="noConversion"/>
  </si>
  <si>
    <t xml:space="preserve">X_14, EQ: Stock Solution Tank </t>
    <phoneticPr fontId="2" type="noConversion"/>
  </si>
  <si>
    <t>X_15, EQ: Growth Media Tank</t>
    <phoneticPr fontId="2" type="noConversion"/>
  </si>
  <si>
    <t>X_17, PBR LDPE Replacement Cost</t>
    <phoneticPr fontId="2" type="noConversion"/>
  </si>
  <si>
    <t>X_16, Land/Site Maintenance Cost</t>
    <phoneticPr fontId="2" type="noConversion"/>
  </si>
  <si>
    <t>X_18, Nutrient- N Source</t>
    <phoneticPr fontId="2" type="noConversion"/>
  </si>
  <si>
    <t>X_19, Nutrient- P Source</t>
    <phoneticPr fontId="2" type="noConversion"/>
  </si>
  <si>
    <t>X_20, Nutrient- S Source</t>
    <phoneticPr fontId="2" type="noConversion"/>
  </si>
  <si>
    <t>X_21, Nutrient- Ca Source</t>
    <phoneticPr fontId="2" type="noConversion"/>
  </si>
  <si>
    <t>X_22, Nutrient- Na Source</t>
    <phoneticPr fontId="2" type="noConversion"/>
  </si>
  <si>
    <t>X_23, Process Water</t>
    <phoneticPr fontId="2" type="noConversion"/>
  </si>
  <si>
    <t>X_24, Korean Grid Mix Electricity</t>
    <phoneticPr fontId="2" type="noConversion"/>
  </si>
  <si>
    <t>X_25, GWI, N Nutrients</t>
    <phoneticPr fontId="2" type="noConversion"/>
  </si>
  <si>
    <t>X_26, GWI, P Nutrients</t>
    <phoneticPr fontId="2" type="noConversion"/>
  </si>
  <si>
    <t>X_27, GWI, S Nutrients</t>
    <phoneticPr fontId="2" type="noConversion"/>
  </si>
  <si>
    <t>X_28, GWI, Ca Nutrients</t>
    <phoneticPr fontId="2" type="noConversion"/>
  </si>
  <si>
    <t>X_29, GWI, Na Nutrients</t>
    <phoneticPr fontId="2" type="noConversion"/>
  </si>
  <si>
    <t>X_30, GWI Process Water</t>
    <phoneticPr fontId="2" type="noConversion"/>
  </si>
  <si>
    <t>X_31, GWI Grid Mix Electricity</t>
    <phoneticPr fontId="2" type="noConversion"/>
  </si>
  <si>
    <t>g/10^9 cells</t>
    <phoneticPr fontId="2" type="noConversion"/>
  </si>
  <si>
    <t>1/hr</t>
    <phoneticPr fontId="2" type="noConversion"/>
  </si>
  <si>
    <t>atm</t>
    <phoneticPr fontId="2" type="noConversion"/>
  </si>
  <si>
    <t>PAR, muE/m^2s</t>
    <phoneticPr fontId="2" type="noConversion"/>
  </si>
  <si>
    <t>USD/acre</t>
    <phoneticPr fontId="2" type="noConversion"/>
  </si>
  <si>
    <t>USD/GJ</t>
    <phoneticPr fontId="2" type="noConversion"/>
  </si>
  <si>
    <t>kgCO2eq/ton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</si>
</sst>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76" formatCode="0.000"/>
    <numFmt numFmtId="177" formatCode="0.00_);[Red]\(0.00\)"/>
    <numFmt numFmtId="178" formatCode="0.000_);[Red]\(0.000\)"/>
    <numFmt numFmtId="179" formatCode="0.0"/>
    <numFmt numFmtId="180" formatCode="_(* #,##0_);_(* \(#,##0\);_(* &quot;-&quot;??_);_(@_)"/>
    <numFmt numFmtId="185" formatCode="_(* #,##0.00000_);_(* \(#,##0.00000\);_(* &quot;-&quot;??_);_(@_)"/>
    <numFmt numFmtId="189" formatCode="0_);[Red]\(0\)"/>
  </numFmts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scheme val="minor"/>
    </font>
    <font>
      <sz val="11"/>
      <color rgb="FF202122"/>
      <name val="맑은 고딕"/>
      <family val="2"/>
      <scheme val="minor"/>
    </font>
    <font>
      <b/>
      <sz val="11"/>
      <color rgb="FF202122"/>
      <name val="맑은 고딕"/>
      <family val="2"/>
      <scheme val="minor"/>
    </font>
    <font>
      <sz val="12"/>
      <color rgb="FF202124"/>
      <name val="맑은 고딕"/>
      <scheme val="minor"/>
    </font>
    <font>
      <b/>
      <sz val="11"/>
      <color rgb="FFFF0000"/>
      <name val="맑은 고딕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11" fontId="0" fillId="0" borderId="0" xfId="0" applyNumberFormat="1"/>
    <xf numFmtId="176" fontId="0" fillId="0" borderId="2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1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right"/>
    </xf>
    <xf numFmtId="176" fontId="1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1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176" fontId="0" fillId="0" borderId="0" xfId="0" applyNumberFormat="1" applyAlignment="1">
      <alignment horizontal="center"/>
    </xf>
    <xf numFmtId="177" fontId="0" fillId="0" borderId="0" xfId="0" applyNumberFormat="1"/>
    <xf numFmtId="178" fontId="0" fillId="5" borderId="0" xfId="0" applyNumberFormat="1" applyFill="1" applyBorder="1"/>
    <xf numFmtId="178" fontId="0" fillId="0" borderId="0" xfId="0" applyNumberFormat="1"/>
    <xf numFmtId="0" fontId="3" fillId="0" borderId="0" xfId="0" applyFont="1"/>
    <xf numFmtId="0" fontId="3" fillId="0" borderId="14" xfId="0" applyFont="1" applyBorder="1"/>
    <xf numFmtId="0" fontId="3" fillId="0" borderId="4" xfId="0" applyFont="1" applyBorder="1"/>
    <xf numFmtId="0" fontId="5" fillId="0" borderId="0" xfId="0" applyFont="1"/>
    <xf numFmtId="11" fontId="0" fillId="0" borderId="0" xfId="0" applyNumberFormat="1" applyFont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11" fontId="5" fillId="0" borderId="0" xfId="0" applyNumberFormat="1" applyFont="1" applyAlignment="1"/>
    <xf numFmtId="11" fontId="5" fillId="0" borderId="0" xfId="0" applyNumberFormat="1" applyFont="1"/>
    <xf numFmtId="0" fontId="1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3" fillId="0" borderId="1" xfId="0" applyFont="1" applyBorder="1" applyAlignment="1">
      <alignment horizontal="center"/>
    </xf>
    <xf numFmtId="179" fontId="0" fillId="0" borderId="5" xfId="0" applyNumberFormat="1" applyFont="1" applyBorder="1" applyAlignment="1">
      <alignment horizontal="center"/>
    </xf>
    <xf numFmtId="179" fontId="0" fillId="0" borderId="7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180" fontId="0" fillId="0" borderId="0" xfId="1" applyNumberFormat="1" applyFont="1" applyAlignment="1"/>
    <xf numFmtId="180" fontId="0" fillId="0" borderId="0" xfId="0" applyNumberForma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0" fillId="0" borderId="0" xfId="0" applyNumberFormat="1"/>
    <xf numFmtId="0" fontId="9" fillId="0" borderId="0" xfId="0" applyFont="1"/>
    <xf numFmtId="179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0" xfId="0" applyFont="1" applyBorder="1" applyAlignment="1">
      <alignment horizontal="center"/>
    </xf>
    <xf numFmtId="10" fontId="1" fillId="6" borderId="1" xfId="2" applyNumberFormat="1" applyFont="1" applyFill="1" applyBorder="1" applyAlignment="1"/>
    <xf numFmtId="185" fontId="0" fillId="0" borderId="0" xfId="0" applyNumberFormat="1"/>
    <xf numFmtId="0" fontId="0" fillId="0" borderId="0" xfId="0" applyAlignment="1">
      <alignment horizontal="right"/>
    </xf>
    <xf numFmtId="189" fontId="0" fillId="0" borderId="0" xfId="0" applyNumberFormat="1" applyAlignment="1">
      <alignment horizontal="center"/>
    </xf>
    <xf numFmtId="0" fontId="5" fillId="0" borderId="0" xfId="0" applyFont="1" applyFill="1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2" fontId="0" fillId="0" borderId="0" xfId="0" applyNumberFormat="1" applyAlignment="1">
      <alignment horizontal="center"/>
    </xf>
    <xf numFmtId="9" fontId="0" fillId="0" borderId="5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6" borderId="5" xfId="2" applyFont="1" applyFill="1" applyBorder="1" applyAlignment="1">
      <alignment horizontal="center"/>
    </xf>
    <xf numFmtId="9" fontId="0" fillId="6" borderId="0" xfId="2" applyFon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9" fontId="0" fillId="6" borderId="7" xfId="2" applyFont="1" applyFill="1" applyBorder="1" applyAlignment="1">
      <alignment horizontal="center"/>
    </xf>
    <xf numFmtId="9" fontId="0" fillId="6" borderId="15" xfId="2" applyFont="1" applyFill="1" applyBorder="1" applyAlignment="1">
      <alignment horizontal="center"/>
    </xf>
    <xf numFmtId="2" fontId="0" fillId="6" borderId="12" xfId="0" applyNumberFormat="1" applyFill="1" applyBorder="1" applyAlignment="1">
      <alignment horizontal="center"/>
    </xf>
    <xf numFmtId="0" fontId="0" fillId="0" borderId="7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showGridLines="0" zoomScale="70" zoomScaleNormal="70" workbookViewId="0">
      <selection activeCell="B160" sqref="B160"/>
    </sheetView>
  </sheetViews>
  <sheetFormatPr defaultRowHeight="16.5" zeroHeight="1"/>
  <cols>
    <col min="1" max="1" width="1.875" customWidth="1"/>
    <col min="2" max="2" width="35.125" customWidth="1"/>
    <col min="3" max="3" width="16.625" customWidth="1"/>
    <col min="4" max="4" width="28" customWidth="1"/>
    <col min="5" max="5" width="26.875" customWidth="1"/>
    <col min="6" max="7" width="27.375" customWidth="1"/>
    <col min="8" max="8" width="27" customWidth="1"/>
    <col min="9" max="9" width="26.25" customWidth="1"/>
    <col min="10" max="10" width="27.625" customWidth="1"/>
    <col min="11" max="11" width="12.25" bestFit="1" customWidth="1"/>
  </cols>
  <sheetData>
    <row r="1" spans="1:19" ht="11.25" customHeight="1" thickBot="1">
      <c r="A1" s="1"/>
    </row>
    <row r="2" spans="1:19" ht="16.5" customHeight="1" thickBot="1">
      <c r="A2" s="1"/>
      <c r="D2" s="57" t="s">
        <v>10</v>
      </c>
      <c r="E2" s="58"/>
      <c r="F2" s="59" t="s">
        <v>14</v>
      </c>
      <c r="G2" s="60"/>
      <c r="H2" s="61"/>
    </row>
    <row r="3" spans="1:19" ht="17.25" thickBot="1">
      <c r="B3" s="21" t="s">
        <v>0</v>
      </c>
      <c r="D3" s="17" t="s">
        <v>12</v>
      </c>
      <c r="E3" s="17" t="s">
        <v>13</v>
      </c>
      <c r="F3" s="18" t="s">
        <v>12</v>
      </c>
      <c r="G3" s="19" t="s">
        <v>13</v>
      </c>
      <c r="H3" s="19" t="s">
        <v>15</v>
      </c>
    </row>
    <row r="4" spans="1:19">
      <c r="B4" s="8" t="s">
        <v>1</v>
      </c>
      <c r="C4" s="2" t="s">
        <v>8</v>
      </c>
      <c r="D4" s="11">
        <v>7.0266877175090905E-2</v>
      </c>
      <c r="E4" s="11">
        <v>0</v>
      </c>
      <c r="F4" s="11">
        <v>1.0019051189436901</v>
      </c>
      <c r="G4" s="14">
        <v>1.19765982519671E-2</v>
      </c>
      <c r="H4" s="14">
        <v>1.6952609808274802E-2</v>
      </c>
      <c r="J4" s="20" t="s">
        <v>11</v>
      </c>
      <c r="K4" s="25">
        <v>100000</v>
      </c>
    </row>
    <row r="5" spans="1:19">
      <c r="B5" s="5" t="s">
        <v>21</v>
      </c>
      <c r="C5" s="4" t="s">
        <v>7</v>
      </c>
      <c r="D5" s="12">
        <v>4.2249016137839997E-2</v>
      </c>
      <c r="E5" s="12">
        <v>0</v>
      </c>
      <c r="F5" s="12">
        <v>0.91542196132984899</v>
      </c>
      <c r="G5" s="15">
        <v>2.1137637346892401E-2</v>
      </c>
      <c r="H5" s="15">
        <v>2.79531001231914E-2</v>
      </c>
      <c r="J5" s="26" t="s">
        <v>16</v>
      </c>
      <c r="K5" s="27">
        <f>SUM(D4:D23)</f>
        <v>1.0430415788326264</v>
      </c>
    </row>
    <row r="6" spans="1:19">
      <c r="B6" s="3" t="s">
        <v>19</v>
      </c>
      <c r="C6" s="4" t="s">
        <v>6</v>
      </c>
      <c r="D6" s="12">
        <v>0.78911593230601795</v>
      </c>
      <c r="E6" s="12">
        <v>0.43186119358024699</v>
      </c>
      <c r="F6" s="12">
        <v>0.89694206830976797</v>
      </c>
      <c r="G6" s="15">
        <v>0.99872406401139602</v>
      </c>
      <c r="H6" s="15">
        <v>0.66511401009343596</v>
      </c>
      <c r="J6" s="20" t="s">
        <v>17</v>
      </c>
      <c r="K6" s="27">
        <f>SUM(E4:E23)</f>
        <v>1.0275534157236808</v>
      </c>
    </row>
    <row r="7" spans="1:19">
      <c r="B7" s="5" t="s">
        <v>131</v>
      </c>
      <c r="C7" s="4" t="s">
        <v>7</v>
      </c>
      <c r="D7" s="12">
        <v>0.104888556384187</v>
      </c>
      <c r="E7" s="12">
        <v>0</v>
      </c>
      <c r="F7" s="12">
        <v>0.75360923403325797</v>
      </c>
      <c r="G7" s="15">
        <v>1.6447176619317098E-2</v>
      </c>
      <c r="H7" s="15">
        <v>1.9233458246647701E-2</v>
      </c>
      <c r="R7" s="10"/>
    </row>
    <row r="8" spans="1:19">
      <c r="B8" s="5" t="s">
        <v>130</v>
      </c>
      <c r="C8" s="4" t="s">
        <v>7</v>
      </c>
      <c r="D8" s="12">
        <v>2.0606865587384601E-2</v>
      </c>
      <c r="E8" s="12">
        <v>0</v>
      </c>
      <c r="F8" s="12">
        <v>0.37084408101102201</v>
      </c>
      <c r="G8" s="15">
        <v>1.70267017331595E-2</v>
      </c>
      <c r="H8" s="15">
        <v>1.49277881088713E-2</v>
      </c>
    </row>
    <row r="9" spans="1:19">
      <c r="B9" s="5" t="s">
        <v>22</v>
      </c>
      <c r="C9" s="4" t="s">
        <v>5</v>
      </c>
      <c r="D9" s="12">
        <v>3.4727302861928301E-3</v>
      </c>
      <c r="E9" s="12">
        <v>0</v>
      </c>
      <c r="F9" s="12">
        <v>0.25090947384428802</v>
      </c>
      <c r="G9" s="15">
        <v>8.3850329572107696E-3</v>
      </c>
      <c r="H9" s="15">
        <v>9.2589448500491403E-3</v>
      </c>
      <c r="S9" s="10"/>
    </row>
    <row r="10" spans="1:19">
      <c r="B10" s="5" t="s">
        <v>135</v>
      </c>
      <c r="C10" s="4" t="s">
        <v>7</v>
      </c>
      <c r="D10" s="12">
        <v>8.2762075689556697E-3</v>
      </c>
      <c r="E10" s="12">
        <v>0</v>
      </c>
      <c r="F10" s="12">
        <v>0.23407187147411301</v>
      </c>
      <c r="G10" s="15">
        <v>1.30335197223339E-2</v>
      </c>
      <c r="H10" s="15">
        <v>1.0178079741890099E-2</v>
      </c>
    </row>
    <row r="11" spans="1:19">
      <c r="B11" s="3" t="s">
        <v>2</v>
      </c>
      <c r="C11" s="4" t="s">
        <v>8</v>
      </c>
      <c r="D11" s="12">
        <v>1.12540064127647E-3</v>
      </c>
      <c r="E11" s="12">
        <v>0</v>
      </c>
      <c r="F11" s="12">
        <v>9.9353447154160807E-2</v>
      </c>
      <c r="G11" s="15">
        <v>1.54408116270148E-2</v>
      </c>
      <c r="H11" s="15">
        <v>1.3692863274257699E-2</v>
      </c>
    </row>
    <row r="12" spans="1:19">
      <c r="B12" s="3" t="s">
        <v>18</v>
      </c>
      <c r="C12" s="4" t="s">
        <v>5</v>
      </c>
      <c r="D12" s="12">
        <v>2.63680567426178E-3</v>
      </c>
      <c r="E12" s="12">
        <v>3.7315031080714701E-6</v>
      </c>
      <c r="F12" s="12">
        <v>9.59740682806213E-2</v>
      </c>
      <c r="G12" s="15">
        <v>1.53773021181851E-2</v>
      </c>
      <c r="H12" s="15">
        <v>9.7666942718766196E-3</v>
      </c>
    </row>
    <row r="13" spans="1:19">
      <c r="B13" s="5" t="s">
        <v>132</v>
      </c>
      <c r="C13" s="4" t="s">
        <v>7</v>
      </c>
      <c r="D13" s="12">
        <v>3.1706222242596901E-6</v>
      </c>
      <c r="E13" s="12">
        <v>0</v>
      </c>
      <c r="F13" s="12">
        <v>9.0501672507207406E-2</v>
      </c>
      <c r="G13" s="15">
        <v>1.90464798296461E-2</v>
      </c>
      <c r="H13" s="15">
        <v>1.2512734072135E-2</v>
      </c>
    </row>
    <row r="14" spans="1:19">
      <c r="B14" s="5" t="s">
        <v>129</v>
      </c>
      <c r="C14" s="4" t="s">
        <v>7</v>
      </c>
      <c r="D14" s="12">
        <v>1.9598224035886601E-4</v>
      </c>
      <c r="E14" s="12">
        <v>0</v>
      </c>
      <c r="F14" s="12">
        <v>8.9946592270532796E-2</v>
      </c>
      <c r="G14" s="15">
        <v>1.4125271461738999E-2</v>
      </c>
      <c r="H14" s="15">
        <v>1.0260633742913999E-2</v>
      </c>
    </row>
    <row r="15" spans="1:19">
      <c r="B15" s="5" t="s">
        <v>134</v>
      </c>
      <c r="C15" s="4" t="s">
        <v>7</v>
      </c>
      <c r="D15" s="12">
        <v>1.6946306668687701E-4</v>
      </c>
      <c r="E15" s="12">
        <v>0</v>
      </c>
      <c r="F15" s="12">
        <v>8.9431509440098103E-2</v>
      </c>
      <c r="G15" s="15">
        <v>1.26014030238213E-2</v>
      </c>
      <c r="H15" s="15">
        <v>1.5437903653384299E-2</v>
      </c>
      <c r="S15" s="10"/>
    </row>
    <row r="16" spans="1:19">
      <c r="B16" s="5" t="s">
        <v>139</v>
      </c>
      <c r="C16" s="4" t="s">
        <v>7</v>
      </c>
      <c r="D16" s="12">
        <v>1.3749789826407499E-7</v>
      </c>
      <c r="E16" s="12">
        <v>0</v>
      </c>
      <c r="F16" s="12">
        <v>8.2502798188705997E-2</v>
      </c>
      <c r="G16" s="15">
        <v>1.37569293811576E-2</v>
      </c>
      <c r="H16" s="15">
        <v>1.58158899056366E-2</v>
      </c>
      <c r="S16" s="10"/>
    </row>
    <row r="17" spans="2:19">
      <c r="B17" s="3" t="s">
        <v>3</v>
      </c>
      <c r="C17" s="4" t="s">
        <v>9</v>
      </c>
      <c r="D17" s="12">
        <v>0</v>
      </c>
      <c r="E17" s="12">
        <v>7.7356004046756702E-2</v>
      </c>
      <c r="F17" s="12">
        <v>7.4004230956274106E-2</v>
      </c>
      <c r="G17" s="15">
        <v>0.31299778093328701</v>
      </c>
      <c r="H17" s="15">
        <v>0.20330844532780101</v>
      </c>
    </row>
    <row r="18" spans="2:19">
      <c r="B18" s="5" t="s">
        <v>20</v>
      </c>
      <c r="C18" s="4" t="s">
        <v>7</v>
      </c>
      <c r="D18" s="12">
        <v>1.2236746367752E-6</v>
      </c>
      <c r="E18" s="12">
        <v>0</v>
      </c>
      <c r="F18" s="12">
        <v>5.4983300908674301E-2</v>
      </c>
      <c r="G18" s="15">
        <v>1.21931448398176E-2</v>
      </c>
      <c r="H18" s="15">
        <v>6.8179894213917297E-3</v>
      </c>
    </row>
    <row r="19" spans="2:19">
      <c r="B19" s="3" t="s">
        <v>4</v>
      </c>
      <c r="C19" s="4" t="s">
        <v>9</v>
      </c>
      <c r="D19" s="12">
        <v>0</v>
      </c>
      <c r="E19" s="12">
        <v>0.51833248659356901</v>
      </c>
      <c r="F19" s="12">
        <v>4.86581790572461E-2</v>
      </c>
      <c r="G19" s="15">
        <v>0.86038982303161304</v>
      </c>
      <c r="H19" s="15">
        <v>0.62111041375672005</v>
      </c>
      <c r="S19" s="10"/>
    </row>
    <row r="20" spans="2:19">
      <c r="B20" s="5" t="s">
        <v>138</v>
      </c>
      <c r="C20" s="4" t="s">
        <v>7</v>
      </c>
      <c r="D20" s="12">
        <v>1.2537117773827799E-6</v>
      </c>
      <c r="E20" s="12">
        <v>0</v>
      </c>
      <c r="F20" s="12">
        <v>4.5271388230245499E-2</v>
      </c>
      <c r="G20" s="15">
        <v>1.3510989968953E-2</v>
      </c>
      <c r="H20" s="15">
        <v>1.04843755806538E-2</v>
      </c>
      <c r="S20" s="10"/>
    </row>
    <row r="21" spans="2:19">
      <c r="B21" s="5" t="s">
        <v>133</v>
      </c>
      <c r="C21" s="4" t="s">
        <v>7</v>
      </c>
      <c r="D21" s="12">
        <v>1.0287056417823301E-7</v>
      </c>
      <c r="E21" s="12">
        <v>0</v>
      </c>
      <c r="F21" s="12">
        <v>4.14451650344278E-2</v>
      </c>
      <c r="G21" s="15">
        <v>1.52993046682695E-2</v>
      </c>
      <c r="H21" s="15">
        <v>9.4363091547219093E-3</v>
      </c>
      <c r="S21" s="10"/>
    </row>
    <row r="22" spans="2:19">
      <c r="B22" s="5" t="s">
        <v>136</v>
      </c>
      <c r="C22" s="4" t="s">
        <v>7</v>
      </c>
      <c r="D22" s="12">
        <v>1.7039436223330401E-5</v>
      </c>
      <c r="E22" s="12">
        <v>0</v>
      </c>
      <c r="F22" s="12">
        <v>2.7843570664173801E-2</v>
      </c>
      <c r="G22" s="15">
        <v>1.7286490104908799E-2</v>
      </c>
      <c r="H22" s="15">
        <v>9.0492214849749002E-3</v>
      </c>
      <c r="K22">
        <v>0.16220000000000001</v>
      </c>
      <c r="L22">
        <v>0.26819999999999999</v>
      </c>
      <c r="S22" s="10"/>
    </row>
    <row r="23" spans="2:19" ht="17.25" thickBot="1">
      <c r="B23" s="98" t="s">
        <v>137</v>
      </c>
      <c r="C23" s="7" t="s">
        <v>7</v>
      </c>
      <c r="D23" s="13">
        <v>1.48139510493896E-5</v>
      </c>
      <c r="E23" s="13">
        <v>0</v>
      </c>
      <c r="F23" s="13">
        <v>2.4079286453899E-2</v>
      </c>
      <c r="G23" s="16">
        <v>9.8936959420893606E-3</v>
      </c>
      <c r="H23" s="16">
        <v>7.1998849316673597E-3</v>
      </c>
      <c r="K23">
        <v>0.50319999999999998</v>
      </c>
      <c r="L23">
        <v>1.5546</v>
      </c>
    </row>
    <row r="24" spans="2:19" hidden="1">
      <c r="B24" s="9"/>
      <c r="C24" s="22"/>
      <c r="D24" s="23"/>
      <c r="E24" s="23"/>
      <c r="F24" s="23"/>
      <c r="G24" s="23"/>
      <c r="H24" s="23"/>
      <c r="I24" s="24"/>
      <c r="K24">
        <v>0.32879999999999998</v>
      </c>
      <c r="L24">
        <v>0.50329999999999997</v>
      </c>
    </row>
    <row r="25" spans="2:19" hidden="1"/>
    <row r="26" spans="2:19" hidden="1"/>
    <row r="27" spans="2:19" hidden="1">
      <c r="L27" s="10"/>
    </row>
    <row r="28" spans="2:19" ht="16.5" hidden="1" customHeight="1">
      <c r="L28" s="10"/>
    </row>
    <row r="29" spans="2:19" ht="16.5" hidden="1" customHeight="1">
      <c r="L29" s="10"/>
    </row>
    <row r="30" spans="2:19" ht="16.5" hidden="1" customHeight="1">
      <c r="L30" s="10"/>
    </row>
    <row r="31" spans="2:19" ht="16.5" hidden="1" customHeight="1"/>
    <row r="32" spans="2:19" ht="16.5" hidden="1" customHeight="1"/>
    <row r="33" ht="16.5" hidden="1" customHeight="1"/>
    <row r="34" ht="16.5" hidden="1" customHeight="1"/>
    <row r="35" ht="16.5" hidden="1" customHeight="1"/>
    <row r="36" ht="16.5" hidden="1" customHeight="1"/>
    <row r="37" ht="16.5" hidden="1" customHeight="1"/>
    <row r="38" ht="16.5" hidden="1" customHeight="1"/>
    <row r="39" ht="16.5" hidden="1" customHeight="1"/>
    <row r="40" ht="16.5" hidden="1" customHeight="1"/>
    <row r="41" ht="16.5" hidden="1" customHeight="1"/>
    <row r="42" ht="16.5" hidden="1" customHeight="1"/>
    <row r="43" ht="16.5" hidden="1" customHeight="1"/>
    <row r="44" ht="16.5" hidden="1" customHeight="1"/>
    <row r="45" ht="16.5" hidden="1" customHeight="1"/>
    <row r="46" ht="16.5" hidden="1" customHeight="1"/>
    <row r="47" ht="16.5" hidden="1" customHeight="1"/>
    <row r="48" ht="16.5" hidden="1" customHeight="1"/>
    <row r="49" ht="16.5" hidden="1" customHeight="1"/>
    <row r="50" ht="16.5" hidden="1" customHeight="1"/>
    <row r="51" ht="16.5" hidden="1" customHeight="1"/>
    <row r="52" ht="16.5" hidden="1" customHeight="1"/>
    <row r="53" ht="16.5" hidden="1" customHeight="1"/>
    <row r="54" ht="16.5" hidden="1" customHeight="1"/>
    <row r="55" ht="16.5" hidden="1" customHeight="1"/>
    <row r="56" ht="16.5" hidden="1" customHeight="1"/>
    <row r="57" ht="16.5" hidden="1" customHeight="1"/>
    <row r="58" ht="16.5" hidden="1" customHeight="1"/>
    <row r="59" ht="16.5" hidden="1" customHeight="1"/>
    <row r="60" ht="16.5" hidden="1" customHeight="1"/>
    <row r="61" ht="16.5" hidden="1" customHeight="1"/>
    <row r="62" ht="16.5" hidden="1" customHeight="1"/>
    <row r="63" ht="16.5" hidden="1" customHeight="1"/>
    <row r="64" ht="16.5" hidden="1" customHeight="1"/>
    <row r="65" ht="16.5" hidden="1" customHeight="1"/>
    <row r="66" ht="16.5" hidden="1" customHeight="1"/>
    <row r="67" ht="16.5" hidden="1" customHeight="1"/>
    <row r="68" ht="16.5" hidden="1" customHeight="1"/>
    <row r="69" ht="16.5" hidden="1" customHeight="1"/>
    <row r="70" ht="16.5" hidden="1" customHeight="1"/>
    <row r="71" ht="16.5" hidden="1" customHeight="1"/>
    <row r="72" ht="16.5" hidden="1" customHeight="1"/>
    <row r="73" ht="16.5" hidden="1" customHeight="1"/>
    <row r="74" ht="16.5" hidden="1" customHeight="1"/>
    <row r="75" ht="16.5" hidden="1" customHeight="1"/>
    <row r="76" ht="16.5" hidden="1" customHeight="1"/>
    <row r="77" ht="16.5" hidden="1" customHeight="1"/>
    <row r="78" ht="16.5" hidden="1" customHeight="1"/>
    <row r="79" ht="16.5" hidden="1" customHeight="1"/>
    <row r="80" ht="16.5" hidden="1" customHeight="1"/>
    <row r="81" spans="12:12" ht="16.5" hidden="1" customHeight="1"/>
    <row r="82" spans="12:12" ht="16.5" hidden="1" customHeight="1"/>
    <row r="83" spans="12:12" ht="16.5" hidden="1" customHeight="1"/>
    <row r="84" spans="12:12" ht="16.5" hidden="1" customHeight="1"/>
    <row r="85" spans="12:12" ht="16.5" hidden="1" customHeight="1"/>
    <row r="86" spans="12:12" ht="16.5" hidden="1" customHeight="1"/>
    <row r="87" spans="12:12" ht="16.5" hidden="1" customHeight="1">
      <c r="L87" s="10"/>
    </row>
    <row r="88" spans="12:12" ht="16.5" hidden="1" customHeight="1"/>
    <row r="89" spans="12:12" ht="16.5" hidden="1" customHeight="1"/>
    <row r="90" spans="12:12" ht="16.5" hidden="1" customHeight="1"/>
    <row r="91" spans="12:12" ht="16.5" hidden="1" customHeight="1"/>
    <row r="92" spans="12:12" ht="16.5" hidden="1" customHeight="1"/>
    <row r="93" spans="12:12" ht="16.5" hidden="1" customHeight="1"/>
    <row r="94" spans="12:12" ht="16.5" hidden="1" customHeight="1"/>
    <row r="95" spans="12:12" ht="16.5" hidden="1" customHeight="1"/>
    <row r="96" spans="12:12" ht="16.5" hidden="1" customHeight="1"/>
    <row r="97" ht="16.5" hidden="1" customHeight="1"/>
    <row r="98" ht="16.5" hidden="1" customHeight="1"/>
    <row r="99" ht="16.5" hidden="1" customHeight="1"/>
    <row r="100" ht="16.5" hidden="1" customHeight="1"/>
    <row r="101" ht="16.5" hidden="1" customHeight="1"/>
    <row r="102" ht="16.5" hidden="1" customHeight="1"/>
    <row r="103" ht="16.5" hidden="1" customHeight="1"/>
    <row r="104" ht="16.5" hidden="1" customHeight="1"/>
    <row r="105" ht="16.5" hidden="1" customHeight="1"/>
    <row r="106" ht="16.5" hidden="1" customHeight="1"/>
    <row r="107" ht="16.5" hidden="1" customHeight="1"/>
    <row r="108" ht="16.5" hidden="1" customHeight="1"/>
    <row r="109" ht="16.5" hidden="1" customHeight="1"/>
    <row r="110" ht="16.5" hidden="1" customHeight="1"/>
    <row r="111" ht="16.5" hidden="1" customHeight="1"/>
    <row r="112" ht="16.5" hidden="1" customHeight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/>
    <row r="160"/>
    <row r="161"/>
  </sheetData>
  <autoFilter ref="B3:H3">
    <sortState ref="B4:H23">
      <sortCondition descending="1" ref="F3"/>
    </sortState>
  </autoFilter>
  <sortState ref="B28:H58">
    <sortCondition ref="B28:B58"/>
  </sortState>
  <mergeCells count="2">
    <mergeCell ref="D2:E2"/>
    <mergeCell ref="F2:H2"/>
  </mergeCells>
  <phoneticPr fontId="2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showGridLines="0" tabSelected="1" zoomScale="70" zoomScaleNormal="70" workbookViewId="0">
      <selection activeCell="F10" sqref="F10"/>
    </sheetView>
  </sheetViews>
  <sheetFormatPr defaultRowHeight="16.5" zeroHeight="1"/>
  <cols>
    <col min="1" max="1" width="1.875" customWidth="1"/>
    <col min="2" max="2" width="35.125" customWidth="1"/>
    <col min="3" max="3" width="16.625" customWidth="1"/>
    <col min="4" max="4" width="28" customWidth="1"/>
    <col min="5" max="5" width="26.875" customWidth="1"/>
    <col min="6" max="7" width="27.375" customWidth="1"/>
    <col min="8" max="8" width="27" customWidth="1"/>
    <col min="9" max="9" width="26.25" customWidth="1"/>
    <col min="10" max="10" width="27.625" customWidth="1"/>
    <col min="11" max="11" width="12.25" bestFit="1" customWidth="1"/>
  </cols>
  <sheetData>
    <row r="1" spans="1:12" ht="11.25" customHeight="1" thickBot="1">
      <c r="A1" s="1"/>
    </row>
    <row r="2" spans="1:12" ht="17.25" thickBot="1">
      <c r="D2" s="57" t="s">
        <v>10</v>
      </c>
      <c r="E2" s="58"/>
      <c r="F2" s="59" t="s">
        <v>14</v>
      </c>
      <c r="G2" s="60"/>
      <c r="H2" s="61"/>
      <c r="I2" s="29"/>
      <c r="J2" s="28"/>
      <c r="K2" s="28">
        <v>0.33929999999999999</v>
      </c>
      <c r="L2">
        <v>8.0299999999999996E-2</v>
      </c>
    </row>
    <row r="3" spans="1:12" ht="17.25" thickBot="1">
      <c r="B3" s="21" t="s">
        <v>119</v>
      </c>
      <c r="D3" s="17" t="s">
        <v>12</v>
      </c>
      <c r="E3" s="17" t="s">
        <v>13</v>
      </c>
      <c r="F3" s="18" t="s">
        <v>12</v>
      </c>
      <c r="G3" s="19" t="s">
        <v>13</v>
      </c>
      <c r="H3" s="19" t="s">
        <v>15</v>
      </c>
      <c r="I3" s="30"/>
      <c r="J3" s="28"/>
      <c r="K3" s="28">
        <v>0.22589999999999999</v>
      </c>
      <c r="L3">
        <v>0.3251</v>
      </c>
    </row>
    <row r="4" spans="1:12">
      <c r="B4" s="8" t="s">
        <v>153</v>
      </c>
      <c r="C4" s="2" t="s">
        <v>78</v>
      </c>
      <c r="D4" s="11">
        <v>0.77804886881269897</v>
      </c>
      <c r="E4" s="11">
        <v>0</v>
      </c>
      <c r="F4" s="11">
        <v>1.0129999999999999</v>
      </c>
      <c r="G4" s="14">
        <v>5.4100000000000002E-2</v>
      </c>
      <c r="H4" s="14"/>
      <c r="I4" s="30"/>
      <c r="J4" s="28"/>
      <c r="K4" s="28">
        <v>0.1056</v>
      </c>
      <c r="L4">
        <v>0.10920000000000001</v>
      </c>
    </row>
    <row r="5" spans="1:12">
      <c r="B5" s="3" t="s">
        <v>121</v>
      </c>
      <c r="C5" s="4" t="s">
        <v>163</v>
      </c>
      <c r="D5" s="12">
        <v>0.168612187025074</v>
      </c>
      <c r="E5" s="12">
        <v>0.44644088085871902</v>
      </c>
      <c r="F5" s="12">
        <v>0.49859999999999999</v>
      </c>
      <c r="G5" s="15">
        <v>1.3378000000000001</v>
      </c>
      <c r="H5" s="15"/>
      <c r="I5" s="30"/>
      <c r="J5" s="28"/>
      <c r="K5" s="28">
        <v>8.0799999999999997E-2</v>
      </c>
      <c r="L5">
        <v>8.2699999999999996E-2</v>
      </c>
    </row>
    <row r="6" spans="1:12">
      <c r="B6" s="5" t="s">
        <v>124</v>
      </c>
      <c r="C6" s="4" t="s">
        <v>5</v>
      </c>
      <c r="D6" s="12">
        <v>5.9417801912211098E-2</v>
      </c>
      <c r="E6" s="12">
        <v>1.2931880726887301E-3</v>
      </c>
      <c r="F6" s="12">
        <v>0.35239999999999999</v>
      </c>
      <c r="G6" s="15">
        <v>2.9899999999999999E-2</v>
      </c>
      <c r="H6" s="15"/>
      <c r="I6" s="30"/>
      <c r="J6" s="28"/>
      <c r="K6" s="28">
        <v>0.1002</v>
      </c>
      <c r="L6">
        <v>2.7199999999999998E-2</v>
      </c>
    </row>
    <row r="7" spans="1:12">
      <c r="B7" s="5" t="s">
        <v>122</v>
      </c>
      <c r="C7" s="4" t="s">
        <v>163</v>
      </c>
      <c r="D7" s="12">
        <v>5.0748066887239297E-2</v>
      </c>
      <c r="E7" s="12">
        <v>0.13194996925139099</v>
      </c>
      <c r="F7" s="12">
        <v>0.32900000000000001</v>
      </c>
      <c r="G7" s="15">
        <v>0.45989999999999998</v>
      </c>
      <c r="H7" s="15"/>
      <c r="I7" s="30"/>
      <c r="J7" s="28"/>
      <c r="K7" s="28">
        <v>2.4500000000000001E-2</v>
      </c>
      <c r="L7">
        <v>3.7900000000000003E-2</v>
      </c>
    </row>
    <row r="8" spans="1:12">
      <c r="B8" s="5" t="s">
        <v>125</v>
      </c>
      <c r="C8" s="4" t="s">
        <v>165</v>
      </c>
      <c r="D8" s="12">
        <v>1.9031871633940298E-2</v>
      </c>
      <c r="E8" s="12">
        <v>5.3492463810203297E-2</v>
      </c>
      <c r="F8" s="12">
        <v>0.20599999999999999</v>
      </c>
      <c r="G8" s="15">
        <v>0.28720000000000001</v>
      </c>
      <c r="H8" s="15"/>
      <c r="I8" s="30"/>
      <c r="J8" s="28"/>
      <c r="K8" s="28">
        <v>1.9699999999999999E-2</v>
      </c>
      <c r="L8" s="10">
        <v>4.6899999999999997E-2</v>
      </c>
    </row>
    <row r="9" spans="1:12">
      <c r="B9" s="3" t="s">
        <v>120</v>
      </c>
      <c r="C9" s="4" t="s">
        <v>162</v>
      </c>
      <c r="D9" s="12">
        <v>1.36797127729018E-2</v>
      </c>
      <c r="E9" s="12">
        <v>3.6608271052880399E-2</v>
      </c>
      <c r="F9" s="12">
        <v>0.1653</v>
      </c>
      <c r="G9" s="15">
        <v>0.26879999999999998</v>
      </c>
      <c r="H9" s="15"/>
      <c r="I9" s="30"/>
      <c r="J9" s="28"/>
      <c r="K9" s="28">
        <v>2.86E-2</v>
      </c>
      <c r="L9">
        <v>6.8699999999999997E-2</v>
      </c>
    </row>
    <row r="10" spans="1:12">
      <c r="B10" s="5" t="s">
        <v>123</v>
      </c>
      <c r="C10" s="4" t="s">
        <v>164</v>
      </c>
      <c r="D10" s="12">
        <v>1.13422301135865E-2</v>
      </c>
      <c r="E10" s="12">
        <v>3.0837341110287499E-2</v>
      </c>
      <c r="F10" s="12">
        <v>0.15590000000000001</v>
      </c>
      <c r="G10" s="15">
        <v>0.23949999999999999</v>
      </c>
      <c r="H10" s="15"/>
      <c r="I10" s="30"/>
      <c r="J10" s="28"/>
      <c r="K10" s="28">
        <v>1.38E-2</v>
      </c>
      <c r="L10" s="10">
        <v>5.8000000000000003E-2</v>
      </c>
    </row>
    <row r="11" spans="1:12">
      <c r="B11" s="5" t="s">
        <v>128</v>
      </c>
      <c r="C11" s="4" t="s">
        <v>166</v>
      </c>
      <c r="D11" s="12">
        <v>3.6288140129940999E-3</v>
      </c>
      <c r="E11" s="12">
        <v>0</v>
      </c>
      <c r="F11" s="12">
        <v>0.10829999999999999</v>
      </c>
      <c r="G11" s="15">
        <v>2.0899999999999998E-2</v>
      </c>
      <c r="H11" s="15"/>
      <c r="I11" s="30"/>
      <c r="J11" s="28"/>
      <c r="K11" s="28">
        <v>1.38E-2</v>
      </c>
      <c r="L11">
        <v>6.5799999999999997E-2</v>
      </c>
    </row>
    <row r="12" spans="1:12">
      <c r="B12" s="5" t="s">
        <v>126</v>
      </c>
      <c r="C12" s="4" t="s">
        <v>5</v>
      </c>
      <c r="D12" s="12">
        <v>4.6260026253033999E-3</v>
      </c>
      <c r="E12" s="12">
        <v>5.9855457521215197E-3</v>
      </c>
      <c r="F12" s="12">
        <v>9.8000000000000004E-2</v>
      </c>
      <c r="G12" s="15">
        <v>6.0699999999999997E-2</v>
      </c>
      <c r="H12" s="15"/>
      <c r="I12" s="30"/>
      <c r="J12" s="28"/>
      <c r="K12" s="28">
        <v>3.6200000000000003E-2</v>
      </c>
      <c r="L12" s="10">
        <v>6.1899999999999997E-2</v>
      </c>
    </row>
    <row r="13" spans="1:12">
      <c r="B13" s="3" t="s">
        <v>154</v>
      </c>
      <c r="C13" s="4" t="s">
        <v>167</v>
      </c>
      <c r="D13" s="12">
        <v>2.3023987789074002E-3</v>
      </c>
      <c r="E13" s="12">
        <v>0</v>
      </c>
      <c r="F13" s="12">
        <v>8.4400000000000003E-2</v>
      </c>
      <c r="G13" s="15">
        <v>2.8299999999999999E-2</v>
      </c>
      <c r="H13" s="15"/>
      <c r="I13" s="30"/>
      <c r="J13" s="28"/>
      <c r="K13" s="28">
        <v>1.8200000000000001E-2</v>
      </c>
      <c r="L13" s="10">
        <v>3.85E-2</v>
      </c>
    </row>
    <row r="14" spans="1:12">
      <c r="B14" s="5" t="s">
        <v>127</v>
      </c>
      <c r="C14" s="4" t="s">
        <v>5</v>
      </c>
      <c r="D14" s="12">
        <v>1.66915124654136E-3</v>
      </c>
      <c r="E14" s="12">
        <v>2.14338840895956E-9</v>
      </c>
      <c r="F14" s="12">
        <v>7.3099999999999998E-2</v>
      </c>
      <c r="G14" s="15">
        <v>4.1700000000000001E-2</v>
      </c>
      <c r="H14" s="15"/>
      <c r="I14" s="30"/>
      <c r="J14" s="28"/>
      <c r="K14" s="28">
        <v>2.0799999999999999E-2</v>
      </c>
      <c r="L14" s="10">
        <v>6.2899999999999998E-2</v>
      </c>
    </row>
    <row r="15" spans="1:12">
      <c r="B15" s="5" t="s">
        <v>145</v>
      </c>
      <c r="C15" s="4" t="s">
        <v>7</v>
      </c>
      <c r="D15" s="12">
        <v>3.18278011012281E-4</v>
      </c>
      <c r="E15" s="12">
        <v>0</v>
      </c>
      <c r="F15" s="12">
        <v>3.6999999999999998E-2</v>
      </c>
      <c r="G15" s="15">
        <v>2.53E-2</v>
      </c>
      <c r="H15" s="15"/>
      <c r="I15" s="30"/>
      <c r="J15" s="28"/>
      <c r="K15" s="28">
        <v>1.9699999999999999E-2</v>
      </c>
      <c r="L15" s="10">
        <v>6.3100000000000003E-2</v>
      </c>
    </row>
    <row r="16" spans="1:12">
      <c r="B16" s="5" t="s">
        <v>143</v>
      </c>
      <c r="C16" s="4" t="s">
        <v>7</v>
      </c>
      <c r="D16" s="12">
        <v>1.46475787217451E-4</v>
      </c>
      <c r="E16" s="12">
        <v>0</v>
      </c>
      <c r="F16" s="12">
        <v>2.7799999999999998E-2</v>
      </c>
      <c r="G16" s="15">
        <v>2.0899999999999998E-2</v>
      </c>
      <c r="H16" s="15"/>
      <c r="I16" s="30"/>
      <c r="J16" s="28"/>
      <c r="K16" s="28">
        <v>1.95E-2</v>
      </c>
      <c r="L16" s="10">
        <v>7.6899999999999996E-2</v>
      </c>
    </row>
    <row r="17" spans="2:12">
      <c r="B17" s="3" t="s">
        <v>159</v>
      </c>
      <c r="C17" s="4" t="s">
        <v>168</v>
      </c>
      <c r="D17" s="12">
        <v>0</v>
      </c>
      <c r="E17" s="12">
        <v>5.6993699536001603E-14</v>
      </c>
      <c r="F17" s="12">
        <v>2.4500000000000001E-2</v>
      </c>
      <c r="G17" s="15">
        <v>5.7099999999999998E-2</v>
      </c>
      <c r="H17" s="15"/>
      <c r="I17" s="30"/>
      <c r="J17" s="28"/>
      <c r="K17" s="28">
        <v>1.77E-2</v>
      </c>
      <c r="L17" s="10">
        <v>4.2000000000000003E-2</v>
      </c>
    </row>
    <row r="18" spans="2:12">
      <c r="B18" s="3" t="s">
        <v>158</v>
      </c>
      <c r="C18" s="4" t="s">
        <v>168</v>
      </c>
      <c r="D18" s="12">
        <v>0</v>
      </c>
      <c r="E18" s="12">
        <v>7.4373567040177204E-11</v>
      </c>
      <c r="F18" s="12">
        <v>2.2100000000000002E-2</v>
      </c>
      <c r="G18" s="15">
        <v>5.4800000000000001E-2</v>
      </c>
      <c r="H18" s="15"/>
      <c r="I18" s="30"/>
      <c r="J18" s="28"/>
      <c r="K18" s="28">
        <v>1.7899999999999999E-2</v>
      </c>
      <c r="L18" s="10">
        <v>4.5600000000000002E-2</v>
      </c>
    </row>
    <row r="19" spans="2:12">
      <c r="B19" s="5" t="s">
        <v>141</v>
      </c>
      <c r="C19" s="4" t="s">
        <v>7</v>
      </c>
      <c r="D19" s="12">
        <v>1.19887442341949E-4</v>
      </c>
      <c r="E19" s="12">
        <v>0</v>
      </c>
      <c r="F19" s="12">
        <v>2.01E-2</v>
      </c>
      <c r="G19" s="15">
        <v>2.8299999999999999E-2</v>
      </c>
      <c r="H19" s="15"/>
      <c r="I19" s="30"/>
      <c r="J19" s="28"/>
      <c r="K19" s="28">
        <v>1.6400000000000001E-2</v>
      </c>
      <c r="L19">
        <v>6.5500000000000003E-2</v>
      </c>
    </row>
    <row r="20" spans="2:12">
      <c r="B20" s="3" t="s">
        <v>160</v>
      </c>
      <c r="C20" s="4" t="s">
        <v>168</v>
      </c>
      <c r="D20" s="12">
        <v>0</v>
      </c>
      <c r="E20" s="12">
        <v>1.4864481087228101E-7</v>
      </c>
      <c r="F20" s="12">
        <v>1.9900000000000001E-2</v>
      </c>
      <c r="G20" s="15">
        <v>4.8399999999999999E-2</v>
      </c>
      <c r="H20" s="15"/>
      <c r="I20" s="30"/>
      <c r="J20" s="28"/>
      <c r="K20" s="28">
        <v>1.0081</v>
      </c>
      <c r="L20">
        <v>9.8500000000000004E-2</v>
      </c>
    </row>
    <row r="21" spans="2:12">
      <c r="B21" s="3" t="s">
        <v>157</v>
      </c>
      <c r="C21" s="4" t="s">
        <v>168</v>
      </c>
      <c r="D21" s="12">
        <v>0</v>
      </c>
      <c r="E21" s="12">
        <v>7.64685663546097E-11</v>
      </c>
      <c r="F21" s="12">
        <v>1.8800000000000001E-2</v>
      </c>
      <c r="G21" s="15">
        <v>4.58E-2</v>
      </c>
      <c r="H21" s="15"/>
      <c r="I21" s="30"/>
      <c r="J21" s="28"/>
      <c r="K21" s="28">
        <v>8.5800000000000001E-2</v>
      </c>
      <c r="L21">
        <v>7.9299999999999995E-2</v>
      </c>
    </row>
    <row r="22" spans="2:12">
      <c r="B22" s="3" t="s">
        <v>161</v>
      </c>
      <c r="C22" s="4" t="s">
        <v>9</v>
      </c>
      <c r="D22" s="12">
        <v>0</v>
      </c>
      <c r="E22" s="12">
        <v>0.34036360710480701</v>
      </c>
      <c r="F22" s="12">
        <v>1.61E-2</v>
      </c>
      <c r="G22" s="15">
        <v>0.7752</v>
      </c>
      <c r="H22" s="15"/>
      <c r="I22" s="30"/>
      <c r="J22" s="28"/>
      <c r="K22" s="28">
        <v>1.7100000000000001E-2</v>
      </c>
      <c r="L22">
        <v>3.9300000000000002E-2</v>
      </c>
    </row>
    <row r="23" spans="2:12">
      <c r="B23" s="3" t="s">
        <v>148</v>
      </c>
      <c r="C23" s="4" t="s">
        <v>78</v>
      </c>
      <c r="D23" s="12">
        <v>7.7113403464774006E-5</v>
      </c>
      <c r="E23" s="12">
        <v>0</v>
      </c>
      <c r="F23" s="12">
        <v>1.5699999999999999E-2</v>
      </c>
      <c r="G23" s="15">
        <v>1.7000000000000001E-2</v>
      </c>
      <c r="H23" s="15"/>
      <c r="I23" s="30"/>
      <c r="J23" s="28"/>
      <c r="K23" s="28">
        <v>2.0299999999999999E-2</v>
      </c>
      <c r="L23">
        <v>5.4699999999999999E-2</v>
      </c>
    </row>
    <row r="24" spans="2:12">
      <c r="B24" s="3" t="s">
        <v>146</v>
      </c>
      <c r="C24" s="4" t="s">
        <v>166</v>
      </c>
      <c r="D24" s="12">
        <v>6.6867734953962303E-7</v>
      </c>
      <c r="E24" s="12">
        <v>0</v>
      </c>
      <c r="F24" s="12">
        <v>1.5299999999999999E-2</v>
      </c>
      <c r="G24" s="15">
        <v>2.01E-2</v>
      </c>
      <c r="H24" s="15"/>
      <c r="I24" s="30"/>
      <c r="J24" s="28"/>
      <c r="K24" s="28">
        <v>2.5000000000000001E-2</v>
      </c>
      <c r="L24">
        <v>8.6999999999999994E-2</v>
      </c>
    </row>
    <row r="25" spans="2:12">
      <c r="B25" s="3" t="s">
        <v>152</v>
      </c>
      <c r="C25" s="4" t="s">
        <v>78</v>
      </c>
      <c r="D25" s="12">
        <v>1.47463269794569E-6</v>
      </c>
      <c r="E25" s="12">
        <v>0</v>
      </c>
      <c r="F25" s="12">
        <v>1.49E-2</v>
      </c>
      <c r="G25" s="15">
        <v>2.9899999999999999E-2</v>
      </c>
      <c r="H25" s="15"/>
      <c r="I25" s="30"/>
      <c r="J25" s="28"/>
      <c r="K25" s="28">
        <v>2.2100000000000002E-2</v>
      </c>
      <c r="L25">
        <v>0.11459999999999999</v>
      </c>
    </row>
    <row r="26" spans="2:12">
      <c r="B26" s="5" t="s">
        <v>142</v>
      </c>
      <c r="C26" s="4" t="s">
        <v>7</v>
      </c>
      <c r="D26" s="12">
        <v>9.0532057003752897E-9</v>
      </c>
      <c r="E26" s="12">
        <v>0</v>
      </c>
      <c r="F26" s="12">
        <v>1.47E-2</v>
      </c>
      <c r="G26" s="15">
        <v>2.4899999999999999E-2</v>
      </c>
      <c r="H26" s="15"/>
      <c r="I26" s="30"/>
      <c r="J26" s="28"/>
      <c r="K26" s="28">
        <v>2.47E-2</v>
      </c>
      <c r="L26">
        <v>0.12130000000000001</v>
      </c>
    </row>
    <row r="27" spans="2:12">
      <c r="B27" s="3" t="s">
        <v>149</v>
      </c>
      <c r="C27" s="4" t="s">
        <v>78</v>
      </c>
      <c r="D27" s="12">
        <v>1.5833598229308199E-5</v>
      </c>
      <c r="E27" s="12">
        <v>0</v>
      </c>
      <c r="F27" s="12">
        <v>1.4500000000000001E-2</v>
      </c>
      <c r="G27" s="15">
        <v>2.2100000000000002E-2</v>
      </c>
      <c r="H27" s="15"/>
      <c r="I27" s="30"/>
      <c r="J27" s="28"/>
      <c r="K27" s="28">
        <v>1.83E-2</v>
      </c>
      <c r="L27">
        <v>8.9499999999999996E-2</v>
      </c>
    </row>
    <row r="28" spans="2:12">
      <c r="B28" s="5" t="s">
        <v>140</v>
      </c>
      <c r="C28" s="4" t="s">
        <v>7</v>
      </c>
      <c r="D28" s="12">
        <v>1.02096890238052E-5</v>
      </c>
      <c r="E28" s="12">
        <v>0</v>
      </c>
      <c r="F28" s="12">
        <v>1.43E-2</v>
      </c>
      <c r="G28" s="15">
        <v>3.0700000000000002E-2</v>
      </c>
      <c r="H28" s="15"/>
      <c r="I28" s="30"/>
      <c r="J28" s="28"/>
      <c r="K28" s="28">
        <v>1.35E-2</v>
      </c>
      <c r="L28">
        <v>0.9839</v>
      </c>
    </row>
    <row r="29" spans="2:12">
      <c r="B29" s="5" t="s">
        <v>144</v>
      </c>
      <c r="C29" s="4" t="s">
        <v>7</v>
      </c>
      <c r="D29" s="12">
        <v>2.23608159777842E-7</v>
      </c>
      <c r="E29" s="12">
        <v>0</v>
      </c>
      <c r="F29" s="12">
        <v>1.3899999999999999E-2</v>
      </c>
      <c r="G29" s="15">
        <v>2.9399999999999999E-2</v>
      </c>
      <c r="H29" s="15"/>
      <c r="I29" s="30"/>
      <c r="J29" s="28"/>
      <c r="K29" s="28"/>
    </row>
    <row r="30" spans="2:12">
      <c r="B30" s="3" t="s">
        <v>155</v>
      </c>
      <c r="C30" s="4" t="s">
        <v>168</v>
      </c>
      <c r="D30" s="12">
        <v>0</v>
      </c>
      <c r="E30" s="12">
        <v>1.08025981460373E-7</v>
      </c>
      <c r="F30" s="12">
        <v>1.37E-2</v>
      </c>
      <c r="G30" s="15">
        <v>3.5799999999999998E-2</v>
      </c>
      <c r="H30" s="15"/>
      <c r="I30" s="30"/>
      <c r="J30" s="28"/>
      <c r="K30" s="28"/>
    </row>
    <row r="31" spans="2:12">
      <c r="B31" s="3" t="s">
        <v>150</v>
      </c>
      <c r="C31" s="4" t="s">
        <v>78</v>
      </c>
      <c r="D31" s="12">
        <v>1.07341717183292E-7</v>
      </c>
      <c r="E31" s="12">
        <v>0</v>
      </c>
      <c r="F31" s="12">
        <v>1.24E-2</v>
      </c>
      <c r="G31" s="15">
        <v>2.7799999999999998E-2</v>
      </c>
      <c r="H31" s="15"/>
      <c r="I31" s="30"/>
      <c r="J31" s="28"/>
      <c r="K31" s="28"/>
    </row>
    <row r="32" spans="2:12">
      <c r="B32" s="5" t="s">
        <v>147</v>
      </c>
      <c r="C32" s="4" t="s">
        <v>166</v>
      </c>
      <c r="D32" s="12">
        <v>3.6419355409466199E-6</v>
      </c>
      <c r="E32" s="12">
        <v>0</v>
      </c>
      <c r="F32" s="12">
        <v>1.0699999999999999E-2</v>
      </c>
      <c r="G32" s="15">
        <v>2.47E-2</v>
      </c>
      <c r="H32" s="15"/>
      <c r="I32" s="30"/>
      <c r="J32" s="28"/>
      <c r="K32" s="28"/>
    </row>
    <row r="33" spans="2:12">
      <c r="B33" s="3" t="s">
        <v>151</v>
      </c>
      <c r="C33" s="4" t="s">
        <v>78</v>
      </c>
      <c r="D33" s="12">
        <v>7.9045973766448393E-9</v>
      </c>
      <c r="E33" s="12">
        <v>0</v>
      </c>
      <c r="F33" s="12">
        <v>1.06E-2</v>
      </c>
      <c r="G33" s="15">
        <v>2.3699999999999999E-2</v>
      </c>
      <c r="H33" s="15"/>
      <c r="I33" s="30"/>
    </row>
    <row r="34" spans="2:12" ht="17.25" thickBot="1">
      <c r="B34" s="6" t="s">
        <v>156</v>
      </c>
      <c r="C34" s="7" t="s">
        <v>168</v>
      </c>
      <c r="D34" s="13">
        <v>0</v>
      </c>
      <c r="E34" s="13">
        <v>2.0495166575960399E-10</v>
      </c>
      <c r="F34" s="13">
        <v>1.01E-2</v>
      </c>
      <c r="G34" s="16">
        <v>1.9599999999999999E-2</v>
      </c>
      <c r="H34" s="16"/>
    </row>
    <row r="35" spans="2:12">
      <c r="G35" s="30"/>
    </row>
    <row r="36" spans="2:12">
      <c r="G36" s="30"/>
    </row>
    <row r="37" spans="2:12"/>
    <row r="38" spans="2:12"/>
    <row r="39" spans="2:12" hidden="1"/>
    <row r="40" spans="2:12" hidden="1"/>
    <row r="41" spans="2:12" hidden="1"/>
    <row r="42" spans="2:12" hidden="1">
      <c r="L42" s="10"/>
    </row>
    <row r="43" spans="2:12" hidden="1"/>
    <row r="44" spans="2:12" hidden="1"/>
    <row r="45" spans="2:12" hidden="1"/>
    <row r="46" spans="2:12" hidden="1"/>
    <row r="47" spans="2:12" hidden="1"/>
    <row r="48" spans="2:12" hidden="1">
      <c r="L48" s="10"/>
    </row>
    <row r="49" spans="12:12" hidden="1">
      <c r="L49" s="10"/>
    </row>
    <row r="50" spans="12:12" hidden="1"/>
    <row r="51" spans="12:12" hidden="1"/>
    <row r="52" spans="12:12" hidden="1">
      <c r="L52" s="10"/>
    </row>
    <row r="53" spans="12:12" ht="16.5" hidden="1" customHeight="1">
      <c r="L53" s="10"/>
    </row>
    <row r="54" spans="12:12" ht="16.5" hidden="1" customHeight="1">
      <c r="L54" s="10"/>
    </row>
    <row r="55" spans="12:12" ht="16.5" hidden="1" customHeight="1">
      <c r="L55" s="10"/>
    </row>
    <row r="56" spans="12:12" ht="16.5" hidden="1" customHeight="1"/>
    <row r="57" spans="12:12" ht="16.5" hidden="1" customHeight="1"/>
    <row r="58" spans="12:12" ht="16.5" hidden="1" customHeight="1"/>
    <row r="59" spans="12:12" ht="16.5" hidden="1" customHeight="1"/>
    <row r="60" spans="12:12" ht="16.5" hidden="1" customHeight="1"/>
    <row r="61" spans="12:12" ht="16.5" hidden="1" customHeight="1"/>
    <row r="62" spans="12:12" ht="16.5" hidden="1" customHeight="1"/>
    <row r="63" spans="12:12" ht="16.5" hidden="1" customHeight="1"/>
    <row r="64" spans="12:12" ht="16.5" hidden="1" customHeight="1"/>
    <row r="65" ht="16.5" hidden="1" customHeight="1"/>
    <row r="66" ht="16.5" hidden="1" customHeight="1"/>
    <row r="67" ht="16.5" hidden="1" customHeight="1"/>
    <row r="68" ht="16.5" hidden="1" customHeight="1"/>
    <row r="69" ht="16.5" hidden="1" customHeight="1"/>
    <row r="70" ht="16.5" hidden="1" customHeight="1"/>
    <row r="71" ht="16.5" hidden="1" customHeight="1"/>
    <row r="72" ht="16.5" hidden="1" customHeight="1"/>
    <row r="73" ht="16.5" hidden="1" customHeight="1"/>
    <row r="74" ht="16.5" hidden="1" customHeight="1"/>
    <row r="75" ht="16.5" hidden="1" customHeight="1"/>
    <row r="76" ht="16.5" hidden="1" customHeight="1"/>
    <row r="77" ht="16.5" hidden="1" customHeight="1"/>
    <row r="78" ht="16.5" hidden="1" customHeight="1"/>
    <row r="79" ht="16.5" hidden="1" customHeight="1"/>
    <row r="80" ht="16.5" hidden="1" customHeight="1"/>
    <row r="81" ht="16.5" hidden="1" customHeight="1"/>
    <row r="82" ht="16.5" hidden="1" customHeight="1"/>
    <row r="83" ht="16.5" hidden="1" customHeight="1"/>
    <row r="84" ht="16.5" hidden="1" customHeight="1"/>
    <row r="85" ht="16.5" hidden="1" customHeight="1"/>
    <row r="86" ht="16.5" hidden="1" customHeight="1"/>
    <row r="87" ht="16.5" hidden="1" customHeight="1"/>
    <row r="88" ht="16.5" hidden="1" customHeight="1"/>
    <row r="89" ht="16.5" hidden="1" customHeight="1"/>
    <row r="90" ht="16.5" hidden="1" customHeight="1"/>
    <row r="91" ht="16.5" hidden="1" customHeight="1"/>
    <row r="92" ht="16.5" hidden="1" customHeight="1"/>
    <row r="93" ht="16.5" hidden="1" customHeight="1"/>
    <row r="94" ht="16.5" hidden="1" customHeight="1"/>
    <row r="95" ht="16.5" hidden="1" customHeight="1"/>
    <row r="96" ht="16.5" hidden="1" customHeight="1"/>
    <row r="97" spans="12:12" ht="16.5" hidden="1" customHeight="1"/>
    <row r="98" spans="12:12" ht="16.5" hidden="1" customHeight="1"/>
    <row r="99" spans="12:12" ht="16.5" hidden="1" customHeight="1"/>
    <row r="100" spans="12:12" ht="16.5" hidden="1" customHeight="1"/>
    <row r="101" spans="12:12" ht="16.5" hidden="1" customHeight="1"/>
    <row r="102" spans="12:12" ht="16.5" hidden="1" customHeight="1"/>
    <row r="103" spans="12:12" ht="16.5" hidden="1" customHeight="1"/>
    <row r="104" spans="12:12" ht="16.5" hidden="1" customHeight="1"/>
    <row r="105" spans="12:12" ht="16.5" hidden="1" customHeight="1"/>
    <row r="106" spans="12:12" ht="16.5" hidden="1" customHeight="1"/>
    <row r="107" spans="12:12" ht="16.5" hidden="1" customHeight="1"/>
    <row r="108" spans="12:12" ht="16.5" hidden="1" customHeight="1"/>
    <row r="109" spans="12:12" ht="16.5" hidden="1" customHeight="1"/>
    <row r="110" spans="12:12" ht="16.5" hidden="1" customHeight="1"/>
    <row r="111" spans="12:12" ht="16.5" hidden="1" customHeight="1"/>
    <row r="112" spans="12:12" ht="16.5" hidden="1" customHeight="1">
      <c r="L112" s="10"/>
    </row>
    <row r="113" ht="16.5" hidden="1" customHeight="1"/>
    <row r="114" ht="16.5" hidden="1" customHeight="1"/>
    <row r="115" ht="16.5" hidden="1" customHeight="1"/>
    <row r="116" ht="16.5" hidden="1" customHeight="1"/>
    <row r="117" ht="16.5" hidden="1" customHeight="1"/>
    <row r="118" ht="16.5" hidden="1" customHeight="1"/>
    <row r="119" ht="16.5" hidden="1" customHeight="1"/>
    <row r="120" ht="16.5" hidden="1" customHeight="1"/>
    <row r="121" ht="16.5" hidden="1" customHeight="1"/>
    <row r="122" ht="16.5" hidden="1" customHeight="1"/>
    <row r="123" ht="16.5" hidden="1" customHeight="1"/>
    <row r="124" ht="16.5" hidden="1" customHeight="1"/>
    <row r="125" ht="16.5" hidden="1" customHeight="1"/>
    <row r="126" ht="16.5" hidden="1" customHeight="1"/>
    <row r="127" ht="16.5" hidden="1" customHeight="1"/>
    <row r="128" ht="16.5" hidden="1" customHeight="1"/>
    <row r="129" ht="16.5" hidden="1" customHeight="1"/>
    <row r="130" ht="16.5" hidden="1" customHeight="1"/>
    <row r="131" ht="16.5" hidden="1" customHeight="1"/>
    <row r="132" ht="16.5" hidden="1" customHeight="1"/>
    <row r="133" ht="16.5" hidden="1" customHeight="1"/>
    <row r="134" ht="16.5" hidden="1" customHeight="1"/>
    <row r="135" ht="16.5" hidden="1" customHeight="1"/>
    <row r="136" ht="16.5" hidden="1" customHeight="1"/>
    <row r="137" ht="16.5" hidden="1" customHeight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</sheetData>
  <autoFilter ref="B3:H3">
    <sortState ref="B4:H34">
      <sortCondition descending="1" ref="F3"/>
    </sortState>
  </autoFilter>
  <mergeCells count="2">
    <mergeCell ref="D2:E2"/>
    <mergeCell ref="F2:H2"/>
  </mergeCells>
  <phoneticPr fontId="2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showGridLines="0" zoomScale="70" zoomScaleNormal="70" workbookViewId="0">
      <selection activeCell="M14" sqref="M14"/>
    </sheetView>
  </sheetViews>
  <sheetFormatPr defaultRowHeight="16.5"/>
  <cols>
    <col min="2" max="2" width="31.375" customWidth="1"/>
    <col min="3" max="3" width="15.875" customWidth="1"/>
    <col min="4" max="4" width="20.375" customWidth="1"/>
    <col min="5" max="5" width="12.125" customWidth="1"/>
    <col min="8" max="8" width="10" customWidth="1"/>
    <col min="12" max="12" width="13" customWidth="1"/>
  </cols>
  <sheetData>
    <row r="2" spans="2:5">
      <c r="B2" t="s">
        <v>74</v>
      </c>
    </row>
    <row r="4" spans="2:5" ht="17.25" thickBot="1">
      <c r="C4" s="66" t="s">
        <v>75</v>
      </c>
      <c r="D4" s="66"/>
    </row>
    <row r="5" spans="2:5">
      <c r="B5" s="78" t="s">
        <v>76</v>
      </c>
      <c r="C5" s="8">
        <v>450</v>
      </c>
      <c r="D5" s="2" t="s">
        <v>78</v>
      </c>
      <c r="E5" s="34" t="s">
        <v>79</v>
      </c>
    </row>
    <row r="6" spans="2:5" ht="17.25" thickBot="1">
      <c r="B6" s="78" t="s">
        <v>77</v>
      </c>
      <c r="C6" s="6">
        <v>0.95</v>
      </c>
      <c r="D6" s="7" t="s">
        <v>78</v>
      </c>
      <c r="E6" s="37" t="s">
        <v>80</v>
      </c>
    </row>
    <row r="8" spans="2:5" ht="17.25" thickBot="1">
      <c r="C8" s="66" t="s">
        <v>81</v>
      </c>
      <c r="D8" s="66"/>
    </row>
    <row r="9" spans="2:5">
      <c r="B9" s="78" t="s">
        <v>76</v>
      </c>
      <c r="C9" s="8">
        <v>1600</v>
      </c>
      <c r="D9" s="2" t="s">
        <v>78</v>
      </c>
      <c r="E9" s="34" t="s">
        <v>118</v>
      </c>
    </row>
    <row r="10" spans="2:5" ht="17.25" thickBot="1">
      <c r="B10" s="78" t="s">
        <v>77</v>
      </c>
      <c r="C10" s="6">
        <v>0</v>
      </c>
      <c r="D10" s="7" t="s">
        <v>78</v>
      </c>
      <c r="E10" s="80" t="s">
        <v>117</v>
      </c>
    </row>
    <row r="12" spans="2:5">
      <c r="E12" t="s">
        <v>86</v>
      </c>
    </row>
    <row r="13" spans="2:5">
      <c r="E13" t="s">
        <v>87</v>
      </c>
    </row>
    <row r="14" spans="2:5">
      <c r="E14" t="s">
        <v>88</v>
      </c>
    </row>
    <row r="15" spans="2:5">
      <c r="E15" t="s">
        <v>89</v>
      </c>
    </row>
    <row r="17" spans="3:15" ht="17.25" thickBot="1">
      <c r="C17" s="81" t="s">
        <v>90</v>
      </c>
      <c r="D17" s="81"/>
      <c r="E17" s="81"/>
      <c r="H17" s="1" t="s">
        <v>93</v>
      </c>
    </row>
    <row r="18" spans="3:15" ht="33.75" thickBot="1">
      <c r="C18" s="90" t="s">
        <v>91</v>
      </c>
      <c r="D18" s="91" t="s">
        <v>92</v>
      </c>
      <c r="E18" s="89" t="s">
        <v>116</v>
      </c>
      <c r="H18" t="s">
        <v>94</v>
      </c>
    </row>
    <row r="19" spans="3:15">
      <c r="C19" s="86">
        <v>0</v>
      </c>
      <c r="D19" s="87">
        <v>1</v>
      </c>
      <c r="E19" s="88">
        <f>K32</f>
        <v>2.7029393356565317</v>
      </c>
      <c r="H19" t="s">
        <v>95</v>
      </c>
    </row>
    <row r="20" spans="3:15">
      <c r="C20" s="86">
        <v>1</v>
      </c>
      <c r="D20" s="87">
        <v>0</v>
      </c>
      <c r="E20" s="88">
        <f>1.8</f>
        <v>1.8</v>
      </c>
    </row>
    <row r="21" spans="3:15">
      <c r="C21" s="86">
        <v>0.1</v>
      </c>
      <c r="D21" s="87">
        <f>1-C21</f>
        <v>0.9</v>
      </c>
      <c r="E21" s="88">
        <f>(C21*$E$20)+(D21*$E$19)</f>
        <v>2.6126454020908789</v>
      </c>
      <c r="H21" s="1" t="s">
        <v>96</v>
      </c>
    </row>
    <row r="22" spans="3:15">
      <c r="C22" s="86">
        <v>0.2</v>
      </c>
      <c r="D22" s="87">
        <f t="shared" ref="D22:D29" si="0">1-C22</f>
        <v>0.8</v>
      </c>
      <c r="E22" s="88">
        <f t="shared" ref="E22:E29" si="1">(C22*$E$20)+(D22*$E$19)</f>
        <v>2.5223514685252253</v>
      </c>
      <c r="H22" t="s">
        <v>97</v>
      </c>
    </row>
    <row r="23" spans="3:15" ht="17.25" thickBot="1">
      <c r="C23" s="86">
        <v>0.3</v>
      </c>
      <c r="D23" s="87">
        <f t="shared" si="0"/>
        <v>0.7</v>
      </c>
      <c r="E23" s="88">
        <f t="shared" si="1"/>
        <v>2.4320575349595721</v>
      </c>
    </row>
    <row r="24" spans="3:15" ht="17.25" thickBot="1">
      <c r="C24" s="86">
        <v>0.4</v>
      </c>
      <c r="D24" s="87">
        <f t="shared" si="0"/>
        <v>0.6</v>
      </c>
      <c r="E24" s="88">
        <f t="shared" si="1"/>
        <v>2.3417636013939189</v>
      </c>
      <c r="H24" s="43" t="s">
        <v>98</v>
      </c>
      <c r="I24" s="82"/>
      <c r="J24" s="82"/>
      <c r="K24" s="82"/>
      <c r="L24" s="82"/>
      <c r="M24" s="82"/>
      <c r="N24" s="82"/>
      <c r="O24" s="2"/>
    </row>
    <row r="25" spans="3:15">
      <c r="C25" s="86">
        <v>0.5</v>
      </c>
      <c r="D25" s="87">
        <f t="shared" si="0"/>
        <v>0.5</v>
      </c>
      <c r="E25" s="88">
        <f t="shared" si="1"/>
        <v>2.2514696678282657</v>
      </c>
      <c r="H25" s="3" t="s">
        <v>99</v>
      </c>
      <c r="I25" s="9">
        <v>0.70499999999999996</v>
      </c>
      <c r="J25" s="9" t="s">
        <v>100</v>
      </c>
      <c r="K25" s="9">
        <v>1.57</v>
      </c>
      <c r="L25" s="9" t="s">
        <v>109</v>
      </c>
      <c r="M25" s="9" t="s">
        <v>110</v>
      </c>
      <c r="N25" s="9"/>
      <c r="O25" s="4"/>
    </row>
    <row r="26" spans="3:15">
      <c r="C26" s="92">
        <v>0.6</v>
      </c>
      <c r="D26" s="93">
        <f t="shared" si="0"/>
        <v>0.4</v>
      </c>
      <c r="E26" s="94">
        <f t="shared" si="1"/>
        <v>2.1611757342626126</v>
      </c>
      <c r="H26" s="3" t="s">
        <v>101</v>
      </c>
      <c r="I26" s="9">
        <v>0.33300000000000002</v>
      </c>
      <c r="J26" s="9" t="s">
        <v>103</v>
      </c>
      <c r="K26" s="9">
        <f>108.8/277.778</f>
        <v>0.39167968665625064</v>
      </c>
      <c r="L26" s="9" t="s">
        <v>111</v>
      </c>
      <c r="M26" s="84" t="s">
        <v>112</v>
      </c>
      <c r="N26" s="9"/>
      <c r="O26" s="4"/>
    </row>
    <row r="27" spans="3:15">
      <c r="C27" s="92">
        <v>0.7</v>
      </c>
      <c r="D27" s="93">
        <f t="shared" si="0"/>
        <v>0.30000000000000004</v>
      </c>
      <c r="E27" s="94">
        <f t="shared" si="1"/>
        <v>2.0708818006969594</v>
      </c>
      <c r="H27" s="3" t="s">
        <v>102</v>
      </c>
      <c r="I27" s="9">
        <v>0.33500000000000002</v>
      </c>
      <c r="J27" s="9" t="s">
        <v>100</v>
      </c>
      <c r="K27" s="9">
        <v>1.8</v>
      </c>
      <c r="L27" s="9" t="s">
        <v>109</v>
      </c>
      <c r="M27" s="9" t="s">
        <v>113</v>
      </c>
      <c r="N27" s="9"/>
      <c r="O27" s="4"/>
    </row>
    <row r="28" spans="3:15">
      <c r="C28" s="92">
        <v>0.8</v>
      </c>
      <c r="D28" s="93">
        <f t="shared" si="0"/>
        <v>0.19999999999999996</v>
      </c>
      <c r="E28" s="94">
        <f t="shared" si="1"/>
        <v>1.9805878671313064</v>
      </c>
      <c r="H28" s="3" t="s">
        <v>104</v>
      </c>
      <c r="I28" s="9">
        <v>1.2</v>
      </c>
      <c r="J28" s="9" t="s">
        <v>105</v>
      </c>
      <c r="K28" s="9">
        <f>600/1000</f>
        <v>0.6</v>
      </c>
      <c r="L28" s="84" t="s">
        <v>114</v>
      </c>
      <c r="M28" s="84" t="s">
        <v>112</v>
      </c>
      <c r="N28" s="9"/>
      <c r="O28" s="4"/>
    </row>
    <row r="29" spans="3:15" ht="17.25" thickBot="1">
      <c r="C29" s="95">
        <v>0.9</v>
      </c>
      <c r="D29" s="96">
        <f t="shared" si="0"/>
        <v>9.9999999999999978E-2</v>
      </c>
      <c r="E29" s="97">
        <f t="shared" si="1"/>
        <v>1.8902939335656532</v>
      </c>
      <c r="H29" s="6" t="s">
        <v>106</v>
      </c>
      <c r="I29" s="83">
        <v>0.19600000000000001</v>
      </c>
      <c r="J29" s="83" t="s">
        <v>100</v>
      </c>
      <c r="K29" s="83">
        <v>0.41</v>
      </c>
      <c r="L29" s="83" t="s">
        <v>109</v>
      </c>
      <c r="M29" s="83" t="s">
        <v>115</v>
      </c>
      <c r="N29" s="83"/>
      <c r="O29" s="7"/>
    </row>
    <row r="30" spans="3:15" ht="17.25" thickBot="1">
      <c r="E30" s="85"/>
      <c r="H30" s="43" t="s">
        <v>107</v>
      </c>
      <c r="I30" s="9"/>
      <c r="J30" s="9"/>
      <c r="K30" s="9"/>
      <c r="L30" s="9"/>
      <c r="M30" s="9"/>
      <c r="N30" s="9"/>
      <c r="O30" s="4"/>
    </row>
    <row r="31" spans="3:15" ht="17.25" thickBot="1">
      <c r="E31" s="85"/>
      <c r="H31" s="6" t="s">
        <v>108</v>
      </c>
      <c r="I31" s="83">
        <v>6.2300000000000001E-2</v>
      </c>
      <c r="J31" s="83" t="s">
        <v>100</v>
      </c>
      <c r="K31" s="83">
        <v>1</v>
      </c>
      <c r="L31" s="83" t="s">
        <v>109</v>
      </c>
      <c r="M31" s="83"/>
      <c r="N31" s="83"/>
      <c r="O31" s="7"/>
    </row>
    <row r="32" spans="3:15">
      <c r="E32" s="85"/>
      <c r="K32">
        <f>SUMPRODUCT(I25:I31,K25:K31)</f>
        <v>2.7029393356565317</v>
      </c>
      <c r="L32" s="84" t="s">
        <v>109</v>
      </c>
    </row>
    <row r="33" spans="5:5">
      <c r="E33" s="85"/>
    </row>
  </sheetData>
  <mergeCells count="2">
    <mergeCell ref="C4:D4"/>
    <mergeCell ref="C8:D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workbookViewId="0">
      <selection activeCell="C31" sqref="C31"/>
    </sheetView>
  </sheetViews>
  <sheetFormatPr defaultRowHeight="16.5"/>
  <cols>
    <col min="1" max="1" width="9" style="34"/>
    <col min="2" max="2" width="20.25" style="34" customWidth="1"/>
    <col min="3" max="3" width="9.25" style="34" bestFit="1" customWidth="1"/>
    <col min="4" max="4" width="11.875" style="34" customWidth="1"/>
    <col min="5" max="5" width="10" style="34" customWidth="1"/>
    <col min="6" max="7" width="9" style="34"/>
    <col min="8" max="8" width="13.125" style="34" customWidth="1"/>
    <col min="9" max="9" width="9" style="34"/>
    <col min="10" max="10" width="9.25" style="34" bestFit="1" customWidth="1"/>
    <col min="11" max="16384" width="9" style="34"/>
  </cols>
  <sheetData>
    <row r="2" spans="1:12">
      <c r="A2" s="37" t="s">
        <v>37</v>
      </c>
    </row>
    <row r="3" spans="1:12">
      <c r="A3" s="34" t="s">
        <v>26</v>
      </c>
    </row>
    <row r="4" spans="1:12">
      <c r="B4" s="34" t="s">
        <v>28</v>
      </c>
    </row>
    <row r="5" spans="1:12">
      <c r="B5" s="34" t="s">
        <v>29</v>
      </c>
      <c r="C5" s="35">
        <v>6.6259999999999998E-34</v>
      </c>
      <c r="D5" s="34" t="s">
        <v>30</v>
      </c>
    </row>
    <row r="6" spans="1:12">
      <c r="B6" s="34" t="s">
        <v>31</v>
      </c>
      <c r="C6" s="35">
        <v>299800000</v>
      </c>
      <c r="D6" s="34" t="s">
        <v>32</v>
      </c>
    </row>
    <row r="7" spans="1:12">
      <c r="B7" s="36" t="s">
        <v>33</v>
      </c>
      <c r="C7" s="35">
        <v>5.5000000000000003E-7</v>
      </c>
      <c r="D7" s="34" t="s">
        <v>34</v>
      </c>
    </row>
    <row r="8" spans="1:12">
      <c r="B8" s="36" t="s">
        <v>39</v>
      </c>
      <c r="C8" s="35"/>
    </row>
    <row r="9" spans="1:12">
      <c r="B9" s="36"/>
      <c r="C9" s="35"/>
    </row>
    <row r="10" spans="1:12">
      <c r="B10" s="34" t="s">
        <v>40</v>
      </c>
      <c r="J10" s="42"/>
    </row>
    <row r="11" spans="1:12" ht="17.25">
      <c r="B11" s="34" t="s">
        <v>41</v>
      </c>
      <c r="C11" s="38" t="s">
        <v>42</v>
      </c>
      <c r="D11" s="62" t="s">
        <v>43</v>
      </c>
      <c r="E11" s="62"/>
      <c r="F11" s="62"/>
      <c r="G11" s="38" t="s">
        <v>42</v>
      </c>
      <c r="H11" s="41" t="s">
        <v>46</v>
      </c>
      <c r="I11" s="40" t="s">
        <v>42</v>
      </c>
      <c r="J11" s="63" t="s">
        <v>44</v>
      </c>
      <c r="K11" s="63"/>
      <c r="L11" s="39"/>
    </row>
    <row r="12" spans="1:12" ht="17.25" thickBot="1"/>
    <row r="13" spans="1:12" ht="17.25" thickBot="1">
      <c r="B13" s="46" t="s">
        <v>23</v>
      </c>
      <c r="C13" s="32" t="s">
        <v>24</v>
      </c>
      <c r="D13" s="33" t="s">
        <v>25</v>
      </c>
      <c r="E13" s="43" t="s">
        <v>45</v>
      </c>
    </row>
    <row r="14" spans="1:12">
      <c r="B14" s="47">
        <v>2.31</v>
      </c>
      <c r="C14" s="49">
        <f>(B14/86400)*3600</f>
        <v>9.6250000000000002E-2</v>
      </c>
      <c r="D14" s="50">
        <f>C14*1000</f>
        <v>96.25</v>
      </c>
      <c r="E14" s="44">
        <f>D14*(2770000000000000000)*(1000000)*(1/6.022E+23)</f>
        <v>442.73082032547319</v>
      </c>
    </row>
    <row r="15" spans="1:12">
      <c r="B15" s="47">
        <v>3.12</v>
      </c>
      <c r="C15" s="51">
        <f t="shared" ref="C15:C25" si="0">(B15/86400)*3600</f>
        <v>0.13</v>
      </c>
      <c r="D15" s="52">
        <f t="shared" ref="D15:D25" si="1">C15*1000</f>
        <v>130</v>
      </c>
      <c r="E15" s="44">
        <f t="shared" ref="E15:E25" si="2">D15*(2770000000000000000)*(1000000)*(1/6.022E+23)</f>
        <v>597.97409498505476</v>
      </c>
    </row>
    <row r="16" spans="1:12">
      <c r="B16" s="47">
        <v>3.96</v>
      </c>
      <c r="C16" s="51">
        <f t="shared" si="0"/>
        <v>0.16500000000000001</v>
      </c>
      <c r="D16" s="52">
        <f t="shared" si="1"/>
        <v>165</v>
      </c>
      <c r="E16" s="44">
        <f t="shared" si="2"/>
        <v>758.96712055795422</v>
      </c>
    </row>
    <row r="17" spans="1:5">
      <c r="B17" s="47">
        <v>4.88</v>
      </c>
      <c r="C17" s="51">
        <f t="shared" si="0"/>
        <v>0.20333333333333331</v>
      </c>
      <c r="D17" s="52">
        <f t="shared" si="1"/>
        <v>203.33333333333331</v>
      </c>
      <c r="E17" s="44">
        <f t="shared" si="2"/>
        <v>935.29281523303428</v>
      </c>
    </row>
    <row r="18" spans="1:5">
      <c r="B18" s="47">
        <v>5.13</v>
      </c>
      <c r="C18" s="51">
        <f t="shared" si="0"/>
        <v>0.21375</v>
      </c>
      <c r="D18" s="52">
        <f t="shared" si="1"/>
        <v>213.75</v>
      </c>
      <c r="E18" s="44">
        <f t="shared" si="2"/>
        <v>983.20740617734964</v>
      </c>
    </row>
    <row r="19" spans="1:5">
      <c r="B19" s="47">
        <v>5.0199999999999996</v>
      </c>
      <c r="C19" s="51">
        <f t="shared" si="0"/>
        <v>0.20916666666666664</v>
      </c>
      <c r="D19" s="52">
        <f t="shared" si="1"/>
        <v>209.16666666666663</v>
      </c>
      <c r="E19" s="44">
        <f t="shared" si="2"/>
        <v>962.12498616185076</v>
      </c>
    </row>
    <row r="20" spans="1:5">
      <c r="B20" s="47">
        <v>4.08</v>
      </c>
      <c r="C20" s="51">
        <f t="shared" si="0"/>
        <v>0.16999999999999998</v>
      </c>
      <c r="D20" s="52">
        <f t="shared" si="1"/>
        <v>169.99999999999997</v>
      </c>
      <c r="E20" s="44">
        <f t="shared" si="2"/>
        <v>781.96612421122541</v>
      </c>
    </row>
    <row r="21" spans="1:5">
      <c r="B21" s="47">
        <v>4.32</v>
      </c>
      <c r="C21" s="51">
        <f t="shared" si="0"/>
        <v>0.18000000000000002</v>
      </c>
      <c r="D21" s="52">
        <f t="shared" si="1"/>
        <v>180.00000000000003</v>
      </c>
      <c r="E21" s="44">
        <f t="shared" si="2"/>
        <v>827.96413151776824</v>
      </c>
    </row>
    <row r="22" spans="1:5">
      <c r="B22" s="47">
        <v>4.03</v>
      </c>
      <c r="C22" s="51">
        <f t="shared" si="0"/>
        <v>0.16791666666666669</v>
      </c>
      <c r="D22" s="52">
        <f t="shared" si="1"/>
        <v>167.91666666666669</v>
      </c>
      <c r="E22" s="44">
        <f t="shared" si="2"/>
        <v>772.38320602236251</v>
      </c>
    </row>
    <row r="23" spans="1:5">
      <c r="B23" s="47">
        <v>3.46</v>
      </c>
      <c r="C23" s="51">
        <f t="shared" si="0"/>
        <v>0.14416666666666667</v>
      </c>
      <c r="D23" s="52">
        <f t="shared" si="1"/>
        <v>144.16666666666666</v>
      </c>
      <c r="E23" s="44">
        <f t="shared" si="2"/>
        <v>663.1379386693236</v>
      </c>
    </row>
    <row r="24" spans="1:5">
      <c r="B24" s="47">
        <v>2.34</v>
      </c>
      <c r="C24" s="51">
        <f t="shared" si="0"/>
        <v>9.7499999999999989E-2</v>
      </c>
      <c r="D24" s="52">
        <f t="shared" si="1"/>
        <v>97.499999999999986</v>
      </c>
      <c r="E24" s="44">
        <f t="shared" si="2"/>
        <v>448.48057123879101</v>
      </c>
    </row>
    <row r="25" spans="1:5" ht="17.25" thickBot="1">
      <c r="B25" s="48">
        <v>1.99</v>
      </c>
      <c r="C25" s="53">
        <f t="shared" si="0"/>
        <v>8.2916666666666666E-2</v>
      </c>
      <c r="D25" s="54">
        <f t="shared" si="1"/>
        <v>82.916666666666671</v>
      </c>
      <c r="E25" s="45">
        <f t="shared" si="2"/>
        <v>381.4001439167497</v>
      </c>
    </row>
    <row r="27" spans="1:5">
      <c r="A27" s="31" t="s">
        <v>38</v>
      </c>
    </row>
    <row r="28" spans="1:5">
      <c r="A28" s="34" t="s">
        <v>27</v>
      </c>
    </row>
    <row r="29" spans="1:5">
      <c r="A29" s="31" t="s">
        <v>35</v>
      </c>
    </row>
    <row r="30" spans="1:5">
      <c r="A30" s="34" t="s">
        <v>36</v>
      </c>
    </row>
  </sheetData>
  <mergeCells count="2">
    <mergeCell ref="D11:F11"/>
    <mergeCell ref="J11:K1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workbookViewId="0">
      <selection activeCell="I24" sqref="I24:K30"/>
    </sheetView>
  </sheetViews>
  <sheetFormatPr defaultRowHeight="16.5"/>
  <cols>
    <col min="2" max="2" width="19" customWidth="1"/>
    <col min="3" max="3" width="10.75" customWidth="1"/>
    <col min="4" max="4" width="9.875" customWidth="1"/>
    <col min="5" max="5" width="20.125" customWidth="1"/>
    <col min="6" max="6" width="18.5" customWidth="1"/>
    <col min="10" max="11" width="14.25" bestFit="1" customWidth="1"/>
  </cols>
  <sheetData>
    <row r="2" spans="2:10">
      <c r="B2" t="s">
        <v>47</v>
      </c>
      <c r="E2" t="s">
        <v>57</v>
      </c>
    </row>
    <row r="3" spans="2:10">
      <c r="B3">
        <v>50</v>
      </c>
      <c r="C3" t="s">
        <v>48</v>
      </c>
      <c r="E3" t="s">
        <v>58</v>
      </c>
      <c r="F3" t="s">
        <v>82</v>
      </c>
      <c r="G3" t="s">
        <v>59</v>
      </c>
      <c r="H3" s="1" t="s">
        <v>62</v>
      </c>
      <c r="J3" s="55"/>
    </row>
    <row r="4" spans="2:10">
      <c r="B4">
        <v>3.3</v>
      </c>
      <c r="C4" t="s">
        <v>49</v>
      </c>
      <c r="E4" t="s">
        <v>60</v>
      </c>
      <c r="F4">
        <v>1224.17407</v>
      </c>
      <c r="J4" s="55"/>
    </row>
    <row r="5" spans="2:10">
      <c r="B5">
        <v>1.7</v>
      </c>
      <c r="C5" t="s">
        <v>50</v>
      </c>
      <c r="E5" t="s">
        <v>61</v>
      </c>
      <c r="F5" s="79">
        <f>F4*300</f>
        <v>367252.22100000002</v>
      </c>
      <c r="J5" s="55"/>
    </row>
    <row r="6" spans="2:10">
      <c r="B6" s="65" t="s">
        <v>51</v>
      </c>
      <c r="C6" s="65"/>
      <c r="D6" s="65"/>
      <c r="E6" t="s">
        <v>83</v>
      </c>
      <c r="F6" s="79">
        <f>F4*1050</f>
        <v>1285382.7735000001</v>
      </c>
      <c r="J6" s="55"/>
    </row>
    <row r="7" spans="2:10">
      <c r="B7" s="71">
        <f>FLOOR(4046.86/(B5+B4),1)</f>
        <v>809</v>
      </c>
      <c r="C7" t="s">
        <v>52</v>
      </c>
      <c r="E7" t="s">
        <v>63</v>
      </c>
      <c r="F7" s="79">
        <f>F4*1500</f>
        <v>1836261.105</v>
      </c>
      <c r="J7" s="55"/>
    </row>
    <row r="8" spans="2:10" ht="17.25" thickBot="1">
      <c r="J8" s="55"/>
    </row>
    <row r="9" spans="2:10" ht="17.25" thickBot="1">
      <c r="B9" s="67" t="s">
        <v>71</v>
      </c>
      <c r="C9" s="68"/>
      <c r="D9" s="69"/>
      <c r="G9" s="67" t="s">
        <v>72</v>
      </c>
      <c r="H9" s="68"/>
      <c r="I9" s="68"/>
      <c r="J9" s="69"/>
    </row>
    <row r="10" spans="2:10">
      <c r="B10" s="64" t="s">
        <v>54</v>
      </c>
      <c r="C10">
        <f>B7*B3</f>
        <v>40450</v>
      </c>
      <c r="D10" t="s">
        <v>53</v>
      </c>
      <c r="G10">
        <v>639</v>
      </c>
      <c r="H10" t="s">
        <v>67</v>
      </c>
      <c r="J10" s="56"/>
    </row>
    <row r="11" spans="2:10">
      <c r="B11" s="64" t="s">
        <v>85</v>
      </c>
      <c r="J11" s="56"/>
    </row>
    <row r="12" spans="2:10">
      <c r="B12" s="64" t="s">
        <v>55</v>
      </c>
      <c r="C12">
        <f>9688+19376</f>
        <v>29064</v>
      </c>
      <c r="D12" t="s">
        <v>53</v>
      </c>
      <c r="G12">
        <v>3</v>
      </c>
      <c r="H12" t="s">
        <v>68</v>
      </c>
    </row>
    <row r="13" spans="2:10">
      <c r="B13" s="64" t="s">
        <v>56</v>
      </c>
      <c r="C13">
        <f>11841+512</f>
        <v>12353</v>
      </c>
      <c r="D13" t="s">
        <v>53</v>
      </c>
      <c r="G13">
        <f>G12*B7</f>
        <v>2427</v>
      </c>
      <c r="H13" t="s">
        <v>69</v>
      </c>
    </row>
    <row r="14" spans="2:10" ht="17.25" thickBot="1">
      <c r="B14" s="64" t="s">
        <v>84</v>
      </c>
      <c r="C14" s="70">
        <f>AVERAGE(F5:F7)</f>
        <v>1162965.3665</v>
      </c>
      <c r="D14" t="s">
        <v>64</v>
      </c>
      <c r="E14" s="70">
        <f>F7</f>
        <v>1836261.105</v>
      </c>
      <c r="G14">
        <f>(G13/1000)*G10</f>
        <v>1550.8530000000001</v>
      </c>
      <c r="H14" t="s">
        <v>53</v>
      </c>
    </row>
    <row r="15" spans="2:10" ht="17.25" thickBot="1">
      <c r="C15" s="73">
        <f>SUM(C10:C14)</f>
        <v>1244832.3665</v>
      </c>
      <c r="D15" s="74" t="s">
        <v>64</v>
      </c>
      <c r="E15" s="70">
        <f>SUM(C10:C13,E14)</f>
        <v>1918128.105</v>
      </c>
      <c r="G15">
        <v>2</v>
      </c>
      <c r="H15" t="s">
        <v>70</v>
      </c>
    </row>
    <row r="16" spans="2:10" ht="17.25" thickBot="1">
      <c r="B16" s="64" t="s">
        <v>65</v>
      </c>
      <c r="C16" s="76">
        <v>0.18</v>
      </c>
      <c r="D16">
        <f>C16*C15</f>
        <v>224069.82597000001</v>
      </c>
      <c r="G16" s="72">
        <f>G14/G15</f>
        <v>775.42650000000003</v>
      </c>
      <c r="H16" s="68" t="s">
        <v>73</v>
      </c>
      <c r="I16" s="75"/>
    </row>
    <row r="17" spans="2:11" ht="17.25" thickBot="1">
      <c r="B17" s="64" t="s">
        <v>66</v>
      </c>
      <c r="C17">
        <f>(1+C16)*C15</f>
        <v>1468902.1924699999</v>
      </c>
      <c r="D17">
        <f>(1-C16)*C15</f>
        <v>1020762.5405300001</v>
      </c>
      <c r="F17" s="65" t="s">
        <v>65</v>
      </c>
      <c r="G17" s="65"/>
      <c r="H17" s="76">
        <v>0.15</v>
      </c>
      <c r="I17">
        <f>H17*G16</f>
        <v>116.313975</v>
      </c>
      <c r="J17" s="56"/>
    </row>
    <row r="18" spans="2:11">
      <c r="F18" s="65" t="s">
        <v>66</v>
      </c>
      <c r="G18" s="65"/>
      <c r="H18">
        <f>(1+H17)*G16</f>
        <v>891.74047499999995</v>
      </c>
      <c r="I18">
        <f>(1-H17)*G16</f>
        <v>659.11252500000001</v>
      </c>
    </row>
    <row r="20" spans="2:11">
      <c r="K20" s="56"/>
    </row>
    <row r="21" spans="2:11">
      <c r="K21" s="56"/>
    </row>
    <row r="23" spans="2:11">
      <c r="K23" s="56"/>
    </row>
    <row r="24" spans="2:11">
      <c r="K24" s="56"/>
    </row>
    <row r="26" spans="2:11">
      <c r="J26" s="77"/>
    </row>
  </sheetData>
  <mergeCells count="6">
    <mergeCell ref="B9:D9"/>
    <mergeCell ref="B6:D6"/>
    <mergeCell ref="G9:J9"/>
    <mergeCell ref="H16:I16"/>
    <mergeCell ref="F17:G17"/>
    <mergeCell ref="F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RESULTS_nCaCO3</vt:lpstr>
      <vt:lpstr>RESULTS_BioAdditive</vt:lpstr>
      <vt:lpstr>Sheet1</vt:lpstr>
      <vt:lpstr>한국 일사량 Data</vt:lpstr>
      <vt:lpstr>PBR Cost Calculation</vt:lpstr>
      <vt:lpstr>RESULTS_BioAdditive!BioAdditive</vt:lpstr>
      <vt:lpstr>nCaCo3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2021-01-10T12:54:49Z</dcterms:modified>
</cp:coreProperties>
</file>