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z1\DataViz\DataSets\"/>
    </mc:Choice>
  </mc:AlternateContent>
  <xr:revisionPtr revIDLastSave="0" documentId="13_ncr:1_{33979A2C-641B-4D45-BA91-497713BDA08C}" xr6:coauthVersionLast="47" xr6:coauthVersionMax="47" xr10:uidLastSave="{00000000-0000-0000-0000-000000000000}"/>
  <bookViews>
    <workbookView xWindow="-108" yWindow="-108" windowWidth="23256" windowHeight="12456" activeTab="1" xr2:uid="{60EF8526-D193-4E28-9111-9589D480937F}"/>
  </bookViews>
  <sheets>
    <sheet name="Basics" sheetId="1" r:id="rId1"/>
    <sheet name="Excel Formulas" sheetId="2" r:id="rId2"/>
    <sheet name="Basic" sheetId="3" r:id="rId3"/>
    <sheet name="Text" sheetId="4" r:id="rId4"/>
    <sheet name="Date" sheetId="5" r:id="rId5"/>
    <sheet name="Formatting" sheetId="6" r:id="rId6"/>
    <sheet name="Lookups &amp; References" sheetId="7" r:id="rId7"/>
  </sheets>
  <definedNames>
    <definedName name="_xlnm._FilterDatabase" localSheetId="0" hidden="1">Basics!$W$27:$W$28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2" l="1"/>
  <c r="M14" i="2"/>
  <c r="E9" i="1"/>
  <c r="L9" i="1" s="1"/>
  <c r="R27" i="2"/>
  <c r="R28" i="2"/>
  <c r="R29" i="2"/>
  <c r="R30" i="2"/>
  <c r="R31" i="2"/>
  <c r="R32" i="2"/>
  <c r="M15" i="2"/>
  <c r="M16" i="2"/>
  <c r="M17" i="2"/>
  <c r="M18" i="2"/>
  <c r="Q7" i="2"/>
  <c r="Q8" i="2"/>
  <c r="Q9" i="2"/>
  <c r="Q23" i="7" l="1"/>
  <c r="Q24" i="7"/>
  <c r="Q22" i="7"/>
  <c r="Q10" i="7"/>
  <c r="Q11" i="7"/>
  <c r="Q12" i="7"/>
  <c r="Q9" i="7"/>
  <c r="O10" i="7"/>
  <c r="O11" i="7"/>
  <c r="O12" i="7"/>
  <c r="O9" i="7"/>
  <c r="L10" i="7"/>
  <c r="L11" i="7"/>
  <c r="L12" i="7"/>
  <c r="L9" i="7"/>
  <c r="I10" i="7"/>
  <c r="I11" i="7"/>
  <c r="I12" i="7"/>
  <c r="I9" i="7"/>
  <c r="L6" i="6"/>
  <c r="L7" i="6"/>
  <c r="L5" i="6"/>
  <c r="K19" i="5"/>
  <c r="K16" i="5"/>
  <c r="M11" i="5"/>
  <c r="M12" i="5"/>
  <c r="M13" i="5"/>
  <c r="M10" i="5"/>
  <c r="L11" i="5"/>
  <c r="L12" i="5"/>
  <c r="L13" i="5"/>
  <c r="L10" i="5"/>
  <c r="O5" i="5"/>
  <c r="N5" i="5"/>
  <c r="M5" i="5"/>
  <c r="L47" i="4"/>
  <c r="L48" i="4"/>
  <c r="L46" i="4"/>
  <c r="O39" i="4"/>
  <c r="O40" i="4"/>
  <c r="O41" i="4"/>
  <c r="O38" i="4"/>
  <c r="N32" i="4"/>
  <c r="N33" i="4"/>
  <c r="N31" i="4"/>
  <c r="O24" i="4"/>
  <c r="O25" i="4"/>
  <c r="O26" i="4"/>
  <c r="O23" i="4"/>
  <c r="N17" i="4"/>
  <c r="N18" i="4"/>
  <c r="N16" i="4"/>
  <c r="M17" i="4"/>
  <c r="M18" i="4"/>
  <c r="M16" i="4"/>
  <c r="L77" i="3"/>
  <c r="L76" i="3"/>
  <c r="L60" i="3"/>
  <c r="L61" i="3"/>
  <c r="L62" i="3"/>
  <c r="L63" i="3"/>
  <c r="L64" i="3"/>
  <c r="L65" i="3"/>
  <c r="L59" i="3"/>
  <c r="P52" i="3"/>
  <c r="P53" i="3"/>
  <c r="P54" i="3"/>
  <c r="P51" i="3"/>
  <c r="M41" i="3"/>
  <c r="S35" i="3"/>
  <c r="O23" i="3"/>
  <c r="P23" i="3"/>
  <c r="N23" i="3"/>
  <c r="O22" i="3"/>
  <c r="P22" i="3"/>
  <c r="N22" i="3"/>
  <c r="V13" i="3"/>
  <c r="V14" i="3"/>
  <c r="V12" i="3"/>
  <c r="U13" i="3"/>
  <c r="U14" i="3"/>
  <c r="U12" i="3"/>
  <c r="T13" i="3"/>
  <c r="T14" i="3"/>
  <c r="T12" i="3"/>
  <c r="S13" i="3"/>
  <c r="S14" i="3"/>
  <c r="S12" i="3"/>
  <c r="Q7" i="3"/>
  <c r="M45" i="3"/>
  <c r="S12" i="7" l="1"/>
  <c r="S11" i="7"/>
  <c r="S10" i="7"/>
  <c r="S9" i="7"/>
  <c r="N11" i="6"/>
  <c r="M11" i="6"/>
  <c r="N10" i="6"/>
  <c r="M10" i="6"/>
  <c r="K67" i="4"/>
  <c r="K66" i="4"/>
  <c r="K65" i="4"/>
  <c r="O11" i="4"/>
  <c r="O10" i="4"/>
  <c r="O9" i="4"/>
  <c r="G9" i="4"/>
  <c r="O8" i="4"/>
  <c r="O7" i="4"/>
  <c r="M74" i="3"/>
  <c r="M73" i="3"/>
  <c r="M72" i="3"/>
  <c r="M71" i="3"/>
  <c r="M70" i="3"/>
  <c r="R52" i="3"/>
  <c r="M38" i="3"/>
  <c r="M37" i="3"/>
  <c r="S36" i="3"/>
  <c r="M36" i="3"/>
  <c r="M35" i="3"/>
  <c r="S34" i="3"/>
  <c r="M34" i="3"/>
  <c r="M16" i="3"/>
  <c r="M15" i="3"/>
  <c r="M14" i="3"/>
  <c r="M13" i="3"/>
  <c r="M12" i="3"/>
  <c r="L9" i="2" l="1"/>
  <c r="L8" i="2"/>
  <c r="L7" i="2"/>
</calcChain>
</file>

<file path=xl/sharedStrings.xml><?xml version="1.0" encoding="utf-8"?>
<sst xmlns="http://schemas.openxmlformats.org/spreadsheetml/2006/main" count="629" uniqueCount="281">
  <si>
    <t>Basic Excel Operations and Data Formatting</t>
  </si>
  <si>
    <t>Data given below is for Andhra Pradesh State. Copy and Paste the data in corresponding columns at the table given on right</t>
  </si>
  <si>
    <t>TOP 3 COVID REGIONS</t>
  </si>
  <si>
    <t>Active</t>
  </si>
  <si>
    <t>State/ UT</t>
  </si>
  <si>
    <t>Confirmed</t>
  </si>
  <si>
    <t>Recovered</t>
  </si>
  <si>
    <t>Deceased</t>
  </si>
  <si>
    <t>Tested</t>
  </si>
  <si>
    <t>Tamil Nadu</t>
  </si>
  <si>
    <t>Andhra Pradesh</t>
  </si>
  <si>
    <t>Maharashtra</t>
  </si>
  <si>
    <t>Data given below is for Delhi. Copy and Paste the data in corresponding columns at the table given on right using Paste Transpose</t>
  </si>
  <si>
    <t>Delhi</t>
  </si>
  <si>
    <t>Sort the table given on right according to the decreasing order of "Confirmed"</t>
  </si>
  <si>
    <t>Region</t>
  </si>
  <si>
    <t>Filter the information from the table for "Delhi"</t>
  </si>
  <si>
    <t>Insert new column after Region as "Region Type" to describe the region as either state or union territory</t>
  </si>
  <si>
    <t>Region Type</t>
  </si>
  <si>
    <t>Overall</t>
  </si>
  <si>
    <t>State</t>
  </si>
  <si>
    <t>Insert 
a) A new column after "Region" to describe the region as either state or union territory (use data validation method)
b) A new column before "Region" for serial number</t>
  </si>
  <si>
    <t>Find and Replace word "Confirmed" with "Overall" everywhere in this workbook</t>
  </si>
  <si>
    <t>Do a spell check everywhere this workbook</t>
  </si>
  <si>
    <t>Make the data given in the right as a table</t>
  </si>
  <si>
    <t>Add outside border to the table</t>
  </si>
  <si>
    <t>Wrap the column title "Last Updated Date"</t>
  </si>
  <si>
    <t>Last Updated Date</t>
  </si>
  <si>
    <t>Merge the cell of  "TOP 3 COVID REGIONS" till the length of data box.</t>
  </si>
  <si>
    <t>Align numbers to right of the cell, texts to the left of the cell. Headings should be vertically center aligned</t>
  </si>
  <si>
    <t>Format the Last Updated Date to "Date" and Cost to "Indian Rupee"</t>
  </si>
  <si>
    <t>Cost</t>
  </si>
  <si>
    <t>Change the text colors of Region Names to Dark Blue and "Region" heading to white
Change the cell colour of "Region" Heading to Sky Blue</t>
  </si>
  <si>
    <t>Use Cell Styles to color "Active", "Recovered", "Deceased" and "Tested" Headings</t>
  </si>
  <si>
    <t>Use Cell Styles to color "Active", "Recovered", "Deceased" headings</t>
  </si>
  <si>
    <t>User "Format Painter" to color the table headings from Question 18</t>
  </si>
  <si>
    <t>Protect this sheet with the password "password@123"</t>
  </si>
  <si>
    <t>Provide a name to the table as "COVID Statistics". Also group the headings and table into a name called "Top 3 COVID Regions" using Name Manager</t>
  </si>
  <si>
    <t>Remove the table conventions for the data given on the right and fill the values of column "Region Type" as either State or UT. Implement a data validation for the same.</t>
  </si>
  <si>
    <t>Indian States</t>
  </si>
  <si>
    <t>Lakshadweep</t>
  </si>
  <si>
    <t>Freeze the pane containing question in this sheet - The horizontal scrolling should be available only for the table data</t>
  </si>
  <si>
    <t>Turn off the gridlines for this sheet</t>
  </si>
  <si>
    <t>Excel Formulas</t>
  </si>
  <si>
    <t>View all the formulas in this sheet</t>
  </si>
  <si>
    <r>
      <t>Calculate the risk score for regions according to the given framework based on R</t>
    </r>
    <r>
      <rPr>
        <b/>
        <sz val="8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value using Nested If-Else</t>
    </r>
  </si>
  <si>
    <t>R0 values of Top COVID Regions</t>
  </si>
  <si>
    <r>
      <t>R</t>
    </r>
    <r>
      <rPr>
        <b/>
        <sz val="8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Value</t>
    </r>
  </si>
  <si>
    <t>Risk Score</t>
  </si>
  <si>
    <t>&gt; 100</t>
  </si>
  <si>
    <t>60-100</t>
  </si>
  <si>
    <t>25-60</t>
  </si>
  <si>
    <t>Karnataka</t>
  </si>
  <si>
    <t>20-25</t>
  </si>
  <si>
    <t>15-20</t>
  </si>
  <si>
    <t>10-15</t>
  </si>
  <si>
    <t>&lt; 10</t>
  </si>
  <si>
    <t>Calculate the value of "Conditions" using the given statement using Conditional and Logical functions. Insert a data validation as well for the values.</t>
  </si>
  <si>
    <t>Climate Information</t>
  </si>
  <si>
    <t>Location</t>
  </si>
  <si>
    <t>Temp (F)</t>
  </si>
  <si>
    <t>Precipitation (mm)</t>
  </si>
  <si>
    <t>Freeze</t>
  </si>
  <si>
    <t>Climate</t>
  </si>
  <si>
    <t>Precipitation Type</t>
  </si>
  <si>
    <t>Conditions</t>
  </si>
  <si>
    <t>Bangalore</t>
  </si>
  <si>
    <t>No</t>
  </si>
  <si>
    <t>Mild</t>
  </si>
  <si>
    <t>None</t>
  </si>
  <si>
    <t>The location considered as Dry unless there is rain fall or snow fall</t>
  </si>
  <si>
    <t>Yes</t>
  </si>
  <si>
    <t>Cold</t>
  </si>
  <si>
    <t>Chennai</t>
  </si>
  <si>
    <t>Hot</t>
  </si>
  <si>
    <t>Kolkata</t>
  </si>
  <si>
    <t>Rain</t>
  </si>
  <si>
    <t>Shimla</t>
  </si>
  <si>
    <t>Snow</t>
  </si>
  <si>
    <t>Dispur</t>
  </si>
  <si>
    <t>Pondicherry</t>
  </si>
  <si>
    <t>Basic Formulas</t>
  </si>
  <si>
    <t>Calculate the "Overall" count of COVID cases for Karnataka using SUM() function</t>
  </si>
  <si>
    <t>KARNATAKA COVID COUNTS</t>
  </si>
  <si>
    <t>Calculate the statewise total for Active, Recovered and Deceased columns from the district wise table using SUMIF function</t>
  </si>
  <si>
    <t>DISTRICT WISE COVID COUNTS</t>
  </si>
  <si>
    <t>STATEWISE COUNTS (MAJOR CITIES ALONE)</t>
  </si>
  <si>
    <t>District</t>
  </si>
  <si>
    <t>Coimbatore</t>
  </si>
  <si>
    <t>Ballari</t>
  </si>
  <si>
    <t>Trivandrum</t>
  </si>
  <si>
    <t>Count the number of boys present for the class every day during training using COUNTIFS function</t>
  </si>
  <si>
    <t>ATTENDANCE SHEET</t>
  </si>
  <si>
    <t>Boy</t>
  </si>
  <si>
    <t>P</t>
  </si>
  <si>
    <t>Boys</t>
  </si>
  <si>
    <t>Girls</t>
  </si>
  <si>
    <t>#</t>
  </si>
  <si>
    <t>Name</t>
  </si>
  <si>
    <t>Gender</t>
  </si>
  <si>
    <t>Day 1</t>
  </si>
  <si>
    <t>Day 2</t>
  </si>
  <si>
    <t>Day 3</t>
  </si>
  <si>
    <t>Anil</t>
  </si>
  <si>
    <t>Male</t>
  </si>
  <si>
    <t>Madhu</t>
  </si>
  <si>
    <t>Female</t>
  </si>
  <si>
    <t>A</t>
  </si>
  <si>
    <t>Arya</t>
  </si>
  <si>
    <t>Richa</t>
  </si>
  <si>
    <t>Yogi</t>
  </si>
  <si>
    <t>Find the district having the second largest number of death cases using LARGE() function</t>
  </si>
  <si>
    <t>Create a link to covid19India website with the link name as "COVID19INDIA" using HYPERLINK() function
URL: https://www.covid19india.org/</t>
  </si>
  <si>
    <t>Link to COVID19INDIA website</t>
  </si>
  <si>
    <t>View the formula used to solve previous question using FORMULATEXT() function</t>
  </si>
  <si>
    <t>Formula written in LAB # 5</t>
  </si>
  <si>
    <t>Calculate the total cost spent by the government of India in fighting against COVID using SUMPRODUCT() function</t>
  </si>
  <si>
    <t>COVID COSTS - GOVERNMENT OF INDIA</t>
  </si>
  <si>
    <t>COVID Strategies</t>
  </si>
  <si>
    <t>Cost Per State</t>
  </si>
  <si>
    <t>States</t>
  </si>
  <si>
    <t>Total Cost</t>
  </si>
  <si>
    <t>Bed Facilities for Monitored Quarantine</t>
  </si>
  <si>
    <t>Corona Tests</t>
  </si>
  <si>
    <t>Relief Fund for families</t>
  </si>
  <si>
    <t>Awareness advertising</t>
  </si>
  <si>
    <t>Mention the day name according to the weeknumber given using SWITCH() function</t>
  </si>
  <si>
    <t>CALENDAR WEEK</t>
  </si>
  <si>
    <t>switch(dayNumber)</t>
  </si>
  <si>
    <t>Day #</t>
  </si>
  <si>
    <t>Day Name</t>
  </si>
  <si>
    <t>{</t>
  </si>
  <si>
    <t>case 1: "Monday"; break;</t>
  </si>
  <si>
    <t>case 2: "Tuesday"; break;</t>
  </si>
  <si>
    <t>}</t>
  </si>
  <si>
    <t>Find out the dimensions of the given table using ROWS() and COLUMNS() functions</t>
  </si>
  <si>
    <t>No. of rows</t>
  </si>
  <si>
    <t>No. of columns</t>
  </si>
  <si>
    <t>Text Functions</t>
  </si>
  <si>
    <t>Mr. Ram, CEO</t>
  </si>
  <si>
    <t>EMPLOYEE LIST</t>
  </si>
  <si>
    <t>Generate the profile names of  by concatenating employee's title, name and position in the organization using CONCAT() function</t>
  </si>
  <si>
    <t>Title</t>
  </si>
  <si>
    <t>Position</t>
  </si>
  <si>
    <t>Profile Name</t>
  </si>
  <si>
    <t>Hint: Take help from below example</t>
  </si>
  <si>
    <t>Mr.</t>
  </si>
  <si>
    <t>Ram</t>
  </si>
  <si>
    <t>CEO</t>
  </si>
  <si>
    <t>Dr.</t>
  </si>
  <si>
    <t>Ravi Prakash</t>
  </si>
  <si>
    <t>CTO</t>
  </si>
  <si>
    <t>Hari</t>
  </si>
  <si>
    <t>Haran</t>
  </si>
  <si>
    <t>Mrs.</t>
  </si>
  <si>
    <t>Anita Vineet</t>
  </si>
  <si>
    <t>COO</t>
  </si>
  <si>
    <t>Ms.</t>
  </si>
  <si>
    <t>Akshaya</t>
  </si>
  <si>
    <t>Lead, Projects</t>
  </si>
  <si>
    <t>Kumar</t>
  </si>
  <si>
    <t>Lead, Operations</t>
  </si>
  <si>
    <t>Separate out city codes and phone numbers from the given texts using LEFT() and RIGHT() functions</t>
  </si>
  <si>
    <t>PHONE NUMBERS</t>
  </si>
  <si>
    <t>Text</t>
  </si>
  <si>
    <t>City Code</t>
  </si>
  <si>
    <t>Phone Number</t>
  </si>
  <si>
    <t>Mr. Ram</t>
  </si>
  <si>
    <t>011-2272862</t>
  </si>
  <si>
    <t>Mr. Ravi</t>
  </si>
  <si>
    <t>020-2276744</t>
  </si>
  <si>
    <t>Mr. Kumar</t>
  </si>
  <si>
    <t>040-2278787</t>
  </si>
  <si>
    <t>Convert each of the given sentences to upper case</t>
  </si>
  <si>
    <t>COVID OBSERVATIONS</t>
  </si>
  <si>
    <t>Text in Upper</t>
  </si>
  <si>
    <t>DOUBLING RATES ARE REDUCING fast over last week</t>
  </si>
  <si>
    <t>The state is doing good with INCREASED NUMBER OF TESTS</t>
  </si>
  <si>
    <t>The state should MOVE DOCTORS from Delhi to Nagpur</t>
  </si>
  <si>
    <t>LOCK DOWN should be imposed in around 4 cities</t>
  </si>
  <si>
    <t>Convert American sentences to British sentences using REPLACE() function</t>
  </si>
  <si>
    <t>American sentence</t>
  </si>
  <si>
    <t>Change Word</t>
  </si>
  <si>
    <t>Replace with</t>
  </si>
  <si>
    <t>British sentence</t>
  </si>
  <si>
    <t>I was at the Theater</t>
  </si>
  <si>
    <t>Theater</t>
  </si>
  <si>
    <t>Theatre</t>
  </si>
  <si>
    <t>May 1st is Labor's day</t>
  </si>
  <si>
    <t>Labor</t>
  </si>
  <si>
    <t>Labour</t>
  </si>
  <si>
    <t>It's my first Airplane journey</t>
  </si>
  <si>
    <t>Airplane</t>
  </si>
  <si>
    <t>Aeroplane</t>
  </si>
  <si>
    <t>Find out the length of the sentences using LEN() function</t>
  </si>
  <si>
    <t>Length</t>
  </si>
  <si>
    <t>LOCK DOWN should be imposed in around 4 citiets</t>
  </si>
  <si>
    <t>From the given sentences find out whether the states are doing good or bad in fight against COVID using SEARCH(),IF() AND ISNUMBER() functions</t>
  </si>
  <si>
    <t>STATEWISE COVID REMARKS</t>
  </si>
  <si>
    <t>Comments</t>
  </si>
  <si>
    <t>Good or bad</t>
  </si>
  <si>
    <t>Delhi is doing excellent</t>
  </si>
  <si>
    <t>Maharashtra is performing poor</t>
  </si>
  <si>
    <t>UP is also doing good</t>
  </si>
  <si>
    <t>Date Functions</t>
  </si>
  <si>
    <t>Calculate the number of years, months and days elapsed since India got Independence using DATEDIF() function</t>
  </si>
  <si>
    <t>Independence Date</t>
  </si>
  <si>
    <t>Years elapsed</t>
  </si>
  <si>
    <t>Months elapsed</t>
  </si>
  <si>
    <t>Days elapsed</t>
  </si>
  <si>
    <t>Convert the following texts to dates using DATEVALUE() and TEXT() functions</t>
  </si>
  <si>
    <t>TEXT TO DATE CONVERSION</t>
  </si>
  <si>
    <t>Date Text</t>
  </si>
  <si>
    <t>Date Value</t>
  </si>
  <si>
    <t>Date</t>
  </si>
  <si>
    <t>1/1/1900</t>
  </si>
  <si>
    <t>1/2/1900</t>
  </si>
  <si>
    <t>1/3/1900</t>
  </si>
  <si>
    <t>How many days does this month have? Use EOMONTH() and DAY() functions</t>
  </si>
  <si>
    <t>Number of days in this month</t>
  </si>
  <si>
    <t>What will be the date after 46 years, 3 months and 1 day from today? Use DATE() function</t>
  </si>
  <si>
    <t>Date after 46 years, 3 months and 1 day from today</t>
  </si>
  <si>
    <t>Data Formatting and Rounding Functions</t>
  </si>
  <si>
    <t>Express the following roman numbers as arabic numbers using ARABIC() function</t>
  </si>
  <si>
    <t>Roman Number</t>
  </si>
  <si>
    <t>Arabic Number</t>
  </si>
  <si>
    <t>XIV</t>
  </si>
  <si>
    <t>L</t>
  </si>
  <si>
    <t>XV</t>
  </si>
  <si>
    <t>Number</t>
  </si>
  <si>
    <t>No. of Digits</t>
  </si>
  <si>
    <t>Round</t>
  </si>
  <si>
    <t>Truncate</t>
  </si>
  <si>
    <t>Lookups and References</t>
  </si>
  <si>
    <t>Calculate the overall score of students according to the given framework using VLOOKUP() and SUM() functions</t>
  </si>
  <si>
    <t>Description</t>
  </si>
  <si>
    <t>Score</t>
  </si>
  <si>
    <t>Professional</t>
  </si>
  <si>
    <t>Technical</t>
  </si>
  <si>
    <t>Behavioural</t>
  </si>
  <si>
    <t>Excellent</t>
  </si>
  <si>
    <t>Student</t>
  </si>
  <si>
    <t>Weight</t>
  </si>
  <si>
    <t>Total Score</t>
  </si>
  <si>
    <t>Max Score</t>
  </si>
  <si>
    <t>Out of 100</t>
  </si>
  <si>
    <t>Very Good</t>
  </si>
  <si>
    <t>John</t>
  </si>
  <si>
    <t>Good</t>
  </si>
  <si>
    <t>Will</t>
  </si>
  <si>
    <t>Above Average</t>
  </si>
  <si>
    <t>Robert</t>
  </si>
  <si>
    <t>Average</t>
  </si>
  <si>
    <t>Poor</t>
  </si>
  <si>
    <t>Tom</t>
  </si>
  <si>
    <t>Hint: Write formulas for "Score" for Professional, Technical and Behavioural using VLOOKUP. Calcualte their sum under "Total Score"</t>
  </si>
  <si>
    <t>Extract the Top ODI scores of players from Top Scores table using HLOOKUP() function</t>
  </si>
  <si>
    <t>TOP SCORES</t>
  </si>
  <si>
    <t>PLAYER TOP SCORE IN ODI</t>
  </si>
  <si>
    <t>Match Type</t>
  </si>
  <si>
    <t>Dhoni</t>
  </si>
  <si>
    <t>Kohli</t>
  </si>
  <si>
    <t>Rohit</t>
  </si>
  <si>
    <t>Player</t>
  </si>
  <si>
    <t>Top Score</t>
  </si>
  <si>
    <t>ODI</t>
  </si>
  <si>
    <t>Test</t>
  </si>
  <si>
    <t>T20</t>
  </si>
  <si>
    <t>IPL</t>
  </si>
  <si>
    <t>Round and Truncate the given numbers according to the number of digits given. Use ROUND() and TRUNCATE() functions</t>
  </si>
  <si>
    <t>1st Largest</t>
  </si>
  <si>
    <t>2nd Largest</t>
  </si>
  <si>
    <t>3rd Largest</t>
  </si>
  <si>
    <t>Given date is wrong</t>
  </si>
  <si>
    <t>8/2/2020</t>
  </si>
  <si>
    <t>Region_Type</t>
  </si>
  <si>
    <t>UT</t>
  </si>
  <si>
    <t>ctrl+F to Find</t>
  </si>
  <si>
    <t>ctrl+h to replace</t>
  </si>
  <si>
    <t>F7 -- Shortcut Key</t>
  </si>
  <si>
    <t>view-&gt;uncheck(gridlines)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</si>
</sst>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65" formatCode="&quot;₹&quot;\ #,##0.00"/>
    <numFmt numFmtId="166" formatCode="[$-F800]dddd\,\ mmmm\ d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8" fillId="0" borderId="0" applyFont="0" applyFill="0" applyBorder="0" applyAlignment="0" applyProtection="0"/>
    <xf numFmtId="0" fontId="9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" fillId="4" borderId="0" xfId="0" applyFont="1" applyFill="1"/>
    <xf numFmtId="0" fontId="3" fillId="5" borderId="0" xfId="0" applyFont="1" applyFill="1"/>
    <xf numFmtId="0" fontId="7" fillId="0" borderId="0" xfId="0" applyFont="1"/>
    <xf numFmtId="0" fontId="0" fillId="0" borderId="1" xfId="0" applyBorder="1"/>
    <xf numFmtId="0" fontId="1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9" fontId="0" fillId="0" borderId="0" xfId="1" applyFont="1"/>
    <xf numFmtId="0" fontId="1" fillId="10" borderId="0" xfId="0" applyFont="1" applyFill="1" applyAlignment="1">
      <alignment horizontal="left" vertical="center"/>
    </xf>
    <xf numFmtId="0" fontId="3" fillId="8" borderId="0" xfId="4" applyBorder="1" applyAlignment="1">
      <alignment horizontal="left" vertical="center"/>
    </xf>
    <xf numFmtId="0" fontId="3" fillId="7" borderId="0" xfId="3" applyBorder="1" applyAlignment="1">
      <alignment horizontal="left" vertical="center"/>
    </xf>
    <xf numFmtId="0" fontId="3" fillId="9" borderId="0" xfId="5" applyBorder="1" applyAlignment="1">
      <alignment horizontal="left" vertical="center"/>
    </xf>
    <xf numFmtId="0" fontId="9" fillId="6" borderId="0" xfId="2" applyBorder="1" applyAlignment="1">
      <alignment horizontal="left" vertical="center"/>
    </xf>
    <xf numFmtId="0" fontId="1" fillId="14" borderId="2" xfId="0" applyFont="1" applyFill="1" applyBorder="1"/>
    <xf numFmtId="0" fontId="1" fillId="14" borderId="3" xfId="0" applyFont="1" applyFill="1" applyBorder="1"/>
    <xf numFmtId="0" fontId="1" fillId="14" borderId="4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3" fillId="8" borderId="3" xfId="4" applyBorder="1" applyAlignment="1">
      <alignment horizontal="center"/>
    </xf>
    <xf numFmtId="0" fontId="3" fillId="7" borderId="3" xfId="3" applyBorder="1" applyAlignment="1">
      <alignment horizontal="center"/>
    </xf>
    <xf numFmtId="0" fontId="3" fillId="9" borderId="3" xfId="5" applyBorder="1" applyAlignment="1">
      <alignment horizontal="center"/>
    </xf>
    <xf numFmtId="0" fontId="9" fillId="6" borderId="3" xfId="2" applyBorder="1" applyAlignment="1">
      <alignment horizontal="center"/>
    </xf>
    <xf numFmtId="0" fontId="3" fillId="13" borderId="4" xfId="8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10" borderId="3" xfId="0" applyFont="1" applyFill="1" applyBorder="1" applyAlignment="1">
      <alignment horizontal="center"/>
    </xf>
    <xf numFmtId="0" fontId="9" fillId="6" borderId="4" xfId="2" applyBorder="1" applyAlignment="1">
      <alignment horizontal="center"/>
    </xf>
    <xf numFmtId="0" fontId="1" fillId="10" borderId="0" xfId="0" applyFont="1" applyFill="1" applyAlignment="1">
      <alignment horizontal="center"/>
    </xf>
    <xf numFmtId="0" fontId="3" fillId="8" borderId="0" xfId="4" applyBorder="1" applyAlignment="1">
      <alignment horizontal="center"/>
    </xf>
    <xf numFmtId="0" fontId="3" fillId="7" borderId="0" xfId="3" applyBorder="1" applyAlignment="1">
      <alignment horizontal="center"/>
    </xf>
    <xf numFmtId="0" fontId="3" fillId="9" borderId="0" xfId="5" applyBorder="1" applyAlignment="1">
      <alignment horizontal="center"/>
    </xf>
    <xf numFmtId="0" fontId="9" fillId="6" borderId="0" xfId="2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5" borderId="1" xfId="0" applyFont="1" applyFill="1" applyBorder="1"/>
    <xf numFmtId="0" fontId="14" fillId="0" borderId="0" xfId="9"/>
    <xf numFmtId="164" fontId="2" fillId="0" borderId="0" xfId="0" applyNumberFormat="1" applyFont="1"/>
    <xf numFmtId="0" fontId="1" fillId="15" borderId="3" xfId="0" applyFont="1" applyFill="1" applyBorder="1"/>
    <xf numFmtId="0" fontId="1" fillId="16" borderId="3" xfId="0" applyFont="1" applyFill="1" applyBorder="1"/>
    <xf numFmtId="0" fontId="2" fillId="17" borderId="4" xfId="0" applyFont="1" applyFill="1" applyBorder="1"/>
    <xf numFmtId="164" fontId="0" fillId="0" borderId="0" xfId="0" applyNumberFormat="1"/>
    <xf numFmtId="164" fontId="0" fillId="0" borderId="6" xfId="0" applyNumberFormat="1" applyBorder="1"/>
    <xf numFmtId="164" fontId="0" fillId="0" borderId="8" xfId="0" applyNumberFormat="1" applyBorder="1"/>
    <xf numFmtId="0" fontId="1" fillId="16" borderId="1" xfId="0" applyFont="1" applyFill="1" applyBorder="1"/>
    <xf numFmtId="0" fontId="0" fillId="0" borderId="0" xfId="0" applyAlignment="1">
      <alignment wrapText="1"/>
    </xf>
    <xf numFmtId="49" fontId="0" fillId="0" borderId="1" xfId="0" applyNumberFormat="1" applyBorder="1"/>
    <xf numFmtId="49" fontId="1" fillId="15" borderId="5" xfId="0" applyNumberFormat="1" applyFont="1" applyFill="1" applyBorder="1"/>
    <xf numFmtId="0" fontId="1" fillId="15" borderId="0" xfId="0" applyFont="1" applyFill="1"/>
    <xf numFmtId="0" fontId="1" fillId="15" borderId="6" xfId="0" applyFont="1" applyFill="1" applyBorder="1"/>
    <xf numFmtId="49" fontId="1" fillId="15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15" borderId="10" xfId="0" applyFont="1" applyFill="1" applyBorder="1"/>
    <xf numFmtId="0" fontId="0" fillId="0" borderId="11" xfId="0" applyBorder="1"/>
    <xf numFmtId="49" fontId="1" fillId="15" borderId="9" xfId="0" applyNumberFormat="1" applyFont="1" applyFill="1" applyBorder="1" applyAlignment="1">
      <alignment vertical="center" wrapText="1"/>
    </xf>
    <xf numFmtId="49" fontId="1" fillId="15" borderId="12" xfId="0" applyNumberFormat="1" applyFont="1" applyFill="1" applyBorder="1" applyAlignment="1">
      <alignment vertical="center" wrapText="1"/>
    </xf>
    <xf numFmtId="49" fontId="1" fillId="15" borderId="7" xfId="0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18" borderId="1" xfId="0" applyFont="1" applyFill="1" applyBorder="1"/>
    <xf numFmtId="15" fontId="0" fillId="0" borderId="0" xfId="0" applyNumberFormat="1"/>
    <xf numFmtId="14" fontId="0" fillId="0" borderId="1" xfId="0" applyNumberFormat="1" applyBorder="1"/>
    <xf numFmtId="16" fontId="0" fillId="0" borderId="0" xfId="0" applyNumberFormat="1"/>
    <xf numFmtId="49" fontId="2" fillId="0" borderId="0" xfId="0" applyNumberFormat="1" applyFont="1"/>
    <xf numFmtId="14" fontId="0" fillId="0" borderId="0" xfId="0" applyNumberFormat="1"/>
    <xf numFmtId="0" fontId="1" fillId="12" borderId="4" xfId="7" applyFont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9" borderId="0" xfId="0" applyFill="1"/>
    <xf numFmtId="9" fontId="0" fillId="19" borderId="0" xfId="0" applyNumberFormat="1" applyFill="1"/>
    <xf numFmtId="0" fontId="1" fillId="14" borderId="10" xfId="0" applyFont="1" applyFill="1" applyBorder="1"/>
    <xf numFmtId="0" fontId="0" fillId="0" borderId="12" xfId="0" applyBorder="1"/>
    <xf numFmtId="0" fontId="14" fillId="0" borderId="1" xfId="9" applyBorder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 wrapText="1"/>
    </xf>
    <xf numFmtId="0" fontId="10" fillId="0" borderId="0" xfId="0" applyFont="1"/>
    <xf numFmtId="0" fontId="3" fillId="10" borderId="0" xfId="0" applyFont="1" applyFill="1"/>
    <xf numFmtId="0" fontId="0" fillId="16" borderId="0" xfId="0" applyFill="1"/>
    <xf numFmtId="0" fontId="15" fillId="20" borderId="0" xfId="0" applyFont="1" applyFill="1"/>
    <xf numFmtId="0" fontId="0" fillId="21" borderId="0" xfId="0" applyFill="1"/>
    <xf numFmtId="0" fontId="0" fillId="22" borderId="0" xfId="0" applyFill="1"/>
    <xf numFmtId="0" fontId="0" fillId="23" borderId="0" xfId="4" applyFont="1" applyFill="1" applyBorder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1" fillId="15" borderId="5" xfId="0" applyFont="1" applyFill="1" applyBorder="1" applyAlignment="1">
      <alignment horizontal="left"/>
    </xf>
    <xf numFmtId="0" fontId="1" fillId="15" borderId="0" xfId="0" applyFont="1" applyFill="1" applyAlignment="1">
      <alignment horizontal="left"/>
    </xf>
    <xf numFmtId="0" fontId="1" fillId="15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12" borderId="2" xfId="7" applyFont="1" applyBorder="1" applyAlignment="1">
      <alignment horizontal="center"/>
    </xf>
    <xf numFmtId="0" fontId="1" fillId="12" borderId="3" xfId="7" applyFont="1" applyBorder="1" applyAlignment="1">
      <alignment horizontal="center"/>
    </xf>
    <xf numFmtId="0" fontId="1" fillId="7" borderId="2" xfId="3" applyFont="1" applyBorder="1" applyAlignment="1">
      <alignment horizontal="center"/>
    </xf>
    <xf numFmtId="0" fontId="1" fillId="7" borderId="3" xfId="3" applyFont="1" applyBorder="1" applyAlignment="1">
      <alignment horizontal="center"/>
    </xf>
    <xf numFmtId="0" fontId="1" fillId="7" borderId="4" xfId="3" applyFont="1" applyBorder="1" applyAlignment="1">
      <alignment horizontal="center"/>
    </xf>
    <xf numFmtId="0" fontId="1" fillId="11" borderId="2" xfId="6" applyFont="1" applyBorder="1" applyAlignment="1">
      <alignment horizontal="center"/>
    </xf>
    <xf numFmtId="0" fontId="1" fillId="11" borderId="3" xfId="6" applyFont="1" applyBorder="1" applyAlignment="1">
      <alignment horizontal="center"/>
    </xf>
    <xf numFmtId="0" fontId="1" fillId="11" borderId="4" xfId="6" applyFont="1" applyBorder="1" applyAlignment="1">
      <alignment horizontal="center"/>
    </xf>
  </cellXfs>
  <cellStyles count="10">
    <cellStyle name="Accent1" xfId="6" builtinId="29"/>
    <cellStyle name="Accent2" xfId="7" builtinId="33"/>
    <cellStyle name="Accent3" xfId="8" builtinId="37"/>
    <cellStyle name="Accent4" xfId="3" builtinId="41"/>
    <cellStyle name="Accent5" xfId="4" builtinId="45"/>
    <cellStyle name="Accent6" xfId="5" builtinId="49"/>
    <cellStyle name="Bad" xfId="2" builtinId="27"/>
    <cellStyle name="Hyperlink" xfId="9" builtinId="8"/>
    <cellStyle name="Normal" xfId="0" builtinId="0"/>
    <cellStyle name="Percent" xfId="1" builtinId="5"/>
  </cellStyles>
  <dxfs count="1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₹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2D14A-3EDC-492A-BB74-C3E9C2538408}" name="Table2" displayName="Table2" ref="K73:P76" totalsRowShown="0" headerRowDxfId="116" dataDxfId="115">
  <autoFilter ref="K73:P76" xr:uid="{5BD2D14A-3EDC-492A-BB74-C3E9C2538408}"/>
  <tableColumns count="6">
    <tableColumn id="1" xr3:uid="{044A4040-61B8-48E4-83E9-1EE24B3067F1}" name="Region" dataDxfId="114"/>
    <tableColumn id="2" xr3:uid="{B5DA38E5-E7CE-472D-BB07-3AE5587F99C7}" name="Confirmed" dataDxfId="113"/>
    <tableColumn id="3" xr3:uid="{E93802E2-2F41-4D5B-AFA6-4D0C7DE09472}" name="Active" dataDxfId="112"/>
    <tableColumn id="4" xr3:uid="{0C110379-8E68-4F6C-8190-FC4B04622C0A}" name="Recovered" dataDxfId="111"/>
    <tableColumn id="5" xr3:uid="{5B1B5FB7-024C-482C-8212-393AA6671D1B}" name="Deceased" dataDxfId="110"/>
    <tableColumn id="6" xr3:uid="{CEB7F0F0-605E-4EF9-9A3E-49E41AED4944}" name="Tested" dataDxfId="10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59516A-A9EF-4983-9AA0-50E2D22D2C59}" name="Table2467891011" displayName="Table2467891011" ref="K127:Q130" totalsRowShown="0" headerRowDxfId="43" dataDxfId="42" tableBorderDxfId="41" headerRowCellStyle="Bad">
  <autoFilter ref="K127:Q130" xr:uid="{2059516A-A9EF-4983-9AA0-50E2D22D2C59}"/>
  <tableColumns count="7">
    <tableColumn id="1" xr3:uid="{C654DC54-608D-4862-AFDF-3B814A3CD86C}" name="Region" dataDxfId="40"/>
    <tableColumn id="2" xr3:uid="{964C301E-8CEC-44A8-B964-EC3AD3465C3B}" name="Confirmed" dataDxfId="39"/>
    <tableColumn id="3" xr3:uid="{8E0FE9FF-C745-4759-8AE3-2405E642031A}" name="Active" dataDxfId="38"/>
    <tableColumn id="4" xr3:uid="{13402026-E1CF-429C-9A1F-14BAC7F7BF33}" name="Recovered" dataDxfId="37"/>
    <tableColumn id="5" xr3:uid="{12880D9C-963E-409E-A0F7-4C99216A7128}" name="Deceased" dataDxfId="36"/>
    <tableColumn id="6" xr3:uid="{86CAE95F-922F-4402-ADBA-23F866B06BDA}" name="Tested" dataDxfId="35"/>
    <tableColumn id="7" xr3:uid="{35624128-53C9-40EA-A198-C4AF602A55C0}" name="Last Updated Date" dataDxfId="3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49950C-DD63-485B-BDE1-CD9FF45AE267}" name="Table2467891013" displayName="Table2467891013" ref="K134:Q137" totalsRowShown="0" headerRowDxfId="33" dataDxfId="32" headerRowCellStyle="Bad">
  <autoFilter ref="K134:Q137" xr:uid="{0449950C-DD63-485B-BDE1-CD9FF45AE267}"/>
  <tableColumns count="7">
    <tableColumn id="1" xr3:uid="{71B5ACC9-EEB3-4741-9A4C-0A1443277B6D}" name="Region" dataDxfId="31"/>
    <tableColumn id="2" xr3:uid="{A5AA65D6-D435-4DE7-8C50-A91AC369F1C1}" name="Confirmed" dataDxfId="30"/>
    <tableColumn id="3" xr3:uid="{C964AD9A-3CD2-4D96-B4A4-738B04557571}" name="Active" dataDxfId="29"/>
    <tableColumn id="4" xr3:uid="{53C8A754-1D0B-4EC4-A9B2-FA49C20FC883}" name="Recovered" dataDxfId="28"/>
    <tableColumn id="5" xr3:uid="{86037920-A86C-4C9D-99E3-505A2067C19A}" name="Deceased" dataDxfId="27"/>
    <tableColumn id="6" xr3:uid="{56D9DCF2-08C8-4071-A4D0-0382E36C1CD5}" name="Tested" dataDxfId="26"/>
    <tableColumn id="7" xr3:uid="{13305A23-0C2D-41EB-9E4C-D3CF242AAD44}" name="Last Updated Date" dataDxfId="2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9E7FC4-7D4B-4865-A10E-D7955B50351F}" name="Table16" displayName="Table16" ref="K25:P28" totalsRowShown="0">
  <autoFilter ref="K25:P28" xr:uid="{529E7FC4-7D4B-4865-A10E-D7955B50351F}"/>
  <sortState xmlns:xlrd2="http://schemas.microsoft.com/office/spreadsheetml/2017/richdata2" ref="K26:P28">
    <sortCondition descending="1" ref="L25:L28"/>
  </sortState>
  <tableColumns count="6">
    <tableColumn id="1" xr3:uid="{2CEB6394-76F8-48ED-8838-4D7238214E18}" name="Region"/>
    <tableColumn id="2" xr3:uid="{F5FEE7AA-FEEB-46A9-8C25-EBAD68C83AD5}" name="Confirmed"/>
    <tableColumn id="3" xr3:uid="{605FF2E0-13CD-48B6-9B79-99D08C9A5775}" name="Active"/>
    <tableColumn id="4" xr3:uid="{809430B9-28BC-4D6A-A630-CDA79AE84179}" name="Recovered"/>
    <tableColumn id="5" xr3:uid="{7D33BFB9-DE31-404B-9679-14B85A15D0A8}" name="Deceased"/>
    <tableColumn id="6" xr3:uid="{61F9E5BF-A765-4630-B485-A604FE3F6C24}" name="Test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9DA890-9AC3-40EA-9651-0665840304E7}" name="Table17" displayName="Table17" ref="K32:P37" totalsRowShown="0">
  <autoFilter ref="K32:P37" xr:uid="{9A9DA890-9AC3-40EA-9651-0665840304E7}">
    <filterColumn colId="0">
      <filters>
        <filter val="Delhi"/>
      </filters>
    </filterColumn>
  </autoFilter>
  <tableColumns count="6">
    <tableColumn id="1" xr3:uid="{13E36C9C-704D-4F43-9FD7-03D4B2AFA09E}" name="Region"/>
    <tableColumn id="2" xr3:uid="{9207DE48-FDE6-483B-98A9-C27CAD251428}" name="Confirmed"/>
    <tableColumn id="3" xr3:uid="{9D3B7A1E-DEE8-47B2-B308-D88B65DBA0B8}" name="Active"/>
    <tableColumn id="4" xr3:uid="{383C9ADB-97EA-4984-AB9E-28A11956FFE1}" name="Recovered"/>
    <tableColumn id="5" xr3:uid="{310D2576-BAD4-4798-B0DA-576D14B072A1}" name="Deceased"/>
    <tableColumn id="6" xr3:uid="{7DE51989-DB9E-485D-9193-73E6643367B3}" name="Tes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E22919-4600-4A12-8AA5-46DB5D32BCAD}" name="Table18" displayName="Table18" ref="K66:P69" totalsRowShown="0" headerRowDxfId="24">
  <autoFilter ref="K66:P69" xr:uid="{9DE22919-4600-4A12-8AA5-46DB5D32BCAD}"/>
  <tableColumns count="6">
    <tableColumn id="1" xr3:uid="{41CBC6CE-326A-4B2B-9E14-E484C92C1207}" name="Region"/>
    <tableColumn id="2" xr3:uid="{3B076BBD-A69B-4B6E-BD4F-022F472A9F21}" name="Confirmed"/>
    <tableColumn id="3" xr3:uid="{109EFFCE-5C6D-43B6-82B0-B660374756D2}" name="Active"/>
    <tableColumn id="4" xr3:uid="{FED13C0C-574E-488F-9C58-F205B068EA93}" name="Recovered"/>
    <tableColumn id="5" xr3:uid="{304F2323-8D3E-4F1B-8550-5EB76799589A}" name="Deceased"/>
    <tableColumn id="6" xr3:uid="{5797D15E-2280-4C06-BEF0-340333954F6B}" name="Test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EAC22E-5BC1-4407-B867-DE53DB98F340}" name="Table2467891011212" displayName="Table2467891011212" ref="K6:Q9" totalsRowShown="0" headerRowDxfId="23" dataDxfId="22" tableBorderDxfId="21">
  <autoFilter ref="K6:Q9" xr:uid="{4D0418C7-E447-4078-AAEA-0E7969E1D7C3}"/>
  <tableColumns count="7">
    <tableColumn id="1" xr3:uid="{F31E30FE-CF8C-4CBE-834B-F0E4656E076E}" name="Region" dataDxfId="20"/>
    <tableColumn id="2" xr3:uid="{9CD7467D-62A3-4F9D-AB65-BD5847CBDC06}" name="Confirmed" dataDxfId="19">
      <calculatedColumnFormula>SUM(Table2467891011212[[#This Row],[Active]:[Deceased]])</calculatedColumnFormula>
    </tableColumn>
    <tableColumn id="3" xr3:uid="{4E46DA94-19F9-453D-8DFC-C225000D0F93}" name="Active" dataDxfId="18"/>
    <tableColumn id="4" xr3:uid="{63A310D4-4605-4884-9B24-A32EDB741843}" name="Recovered" dataDxfId="17"/>
    <tableColumn id="5" xr3:uid="{143609A1-356C-4F68-AA7A-7ACF59D2E775}" name="Deceased" dataDxfId="16"/>
    <tableColumn id="6" xr3:uid="{049AF3ED-96E2-46A3-A6B1-80F392B9A028}" name="Tested" dataDxfId="15"/>
    <tableColumn id="7" xr3:uid="{15604C8A-5D0B-434E-9ABD-3855D6984A7E}" name="Last Updated Date" dataDxfId="14">
      <calculatedColumnFormula>SUM(Table2467891011212[[#This Row],[Tested]],Table2467891011212[[#This Row],[Deceased]],Table2467891011212[[#This Row],[Recovered]],Table2467891011212[[#This Row],[Active]])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76EE75-748F-474F-933D-477B077345D5}" name="DistrictWiseCOVIDCounts" displayName="DistrictWiseCOVIDCounts" ref="K69:P74" totalsRowShown="0" headerRowDxfId="13" tableBorderDxfId="12" headerRowCellStyle="Accent6">
  <autoFilter ref="K69:P74" xr:uid="{0EDD341A-6B61-4502-8F74-7ADB77053D47}"/>
  <tableColumns count="6">
    <tableColumn id="1" xr3:uid="{2AF3D999-9B04-486E-B450-05A5D6EF8001}" name="District" dataDxfId="11"/>
    <tableColumn id="2" xr3:uid="{03A0C85F-DD2F-4AB4-AD8E-D960CEFCA040}" name="State" dataDxfId="10"/>
    <tableColumn id="3" xr3:uid="{5E2302B1-33FC-44C4-B15F-F41AA04E519C}" name="Overall" dataDxfId="9">
      <calculatedColumnFormula>SUM(N70:P70)</calculatedColumnFormula>
    </tableColumn>
    <tableColumn id="4" xr3:uid="{1A8FCA7E-6FF9-44FE-B56F-4D01BC7021F5}" name="Active"/>
    <tableColumn id="5" xr3:uid="{DEB8AB05-522C-445B-9094-56198201E6DB}" name="Recovered"/>
    <tableColumn id="6" xr3:uid="{EE689000-9E36-4419-A83F-590195BC798B}" name="Deceased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D450C97-96C2-4BB4-AE6F-E766B68A465B}" name="Table215" displayName="Table215" ref="H64:K67" totalsRowShown="0" headerRowDxfId="8" headerRowBorderDxfId="7" tableBorderDxfId="6" totalsRowBorderDxfId="5">
  <autoFilter ref="H64:K67" xr:uid="{DE05D219-61B6-4047-9D21-EF55A3A7C36C}"/>
  <tableColumns count="4">
    <tableColumn id="1" xr3:uid="{608CAB0D-A156-4D36-AE3B-5DE9C195D20C}" name="American sentence" dataDxfId="4"/>
    <tableColumn id="2" xr3:uid="{76358A07-EF0C-46B5-A449-8600E843FB25}" name="Change Word" dataDxfId="3"/>
    <tableColumn id="3" xr3:uid="{E380C80F-B77E-477A-B8EA-9EA3A7D52616}" name="Replace with" dataDxfId="2"/>
    <tableColumn id="4" xr3:uid="{DA0C982E-E5B9-4B43-8178-3D0816FED499}" name="British sentence" dataDxfId="1">
      <calculatedColumnFormula>REPLACE(Table215[[#This Row],[American sentence]],SEARCH(Table215[[#This Row],[Change Word]],Table215[[#This Row],[American sentence]]),LEN(Table215[[#This Row],[Change Word]]),Table215[[#This Row],[Replace with]])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296B50-9BD0-4E6B-AC1B-983BF4E6083E}" name="ScoringFramework" displayName="ScoringFramework" ref="D7:E13" totalsRowShown="0" headerRowDxfId="0">
  <autoFilter ref="D7:E13" xr:uid="{31C01494-87D8-46BC-8C2A-C1BFB5A6BAC2}"/>
  <tableColumns count="2">
    <tableColumn id="1" xr3:uid="{AC617ECD-7C3E-49A1-AD00-CF246BE0E83F}" name="Description"/>
    <tableColumn id="2" xr3:uid="{A3B19A6F-06D5-45FA-BC02-2D44A0E9876B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21A45-EBDB-48A1-B023-952C117C6600}" name="Table246" displayName="Table246" ref="K81:Q84" totalsRowShown="0" headerRowDxfId="108" dataDxfId="107" tableBorderDxfId="106">
  <autoFilter ref="K81:Q84" xr:uid="{62F21A45-EBDB-48A1-B023-952C117C6600}"/>
  <tableColumns count="7">
    <tableColumn id="1" xr3:uid="{EF141C8B-CC20-4BDC-8C66-1A3C940C1CDF}" name="Region" dataDxfId="105"/>
    <tableColumn id="2" xr3:uid="{DFA4BD8D-DF50-4B06-A381-03194061729D}" name="Confirmed" dataDxfId="104"/>
    <tableColumn id="3" xr3:uid="{FB3C1E3D-A29B-4515-8261-9C318E9A7A0A}" name="Active" dataDxfId="103"/>
    <tableColumn id="4" xr3:uid="{C8164A2B-FB24-44B8-8A79-1A2D562ECB9F}" name="Recovered" dataDxfId="102"/>
    <tableColumn id="5" xr3:uid="{09E9861D-4B01-45D5-9E59-4A6EB54AA6F8}" name="Deceased" dataDxfId="101"/>
    <tableColumn id="6" xr3:uid="{E9590F97-2BBE-4CCC-8813-07725587344C}" name="Tested" dataDxfId="100"/>
    <tableColumn id="7" xr3:uid="{E54B1B68-053F-42D5-A086-6BB5E04C94E0}" name="Last Updated Date" dataDxfId="9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C863B-97A5-4D09-A56B-1C4B32002AD8}" name="Table2467" displayName="Table2467" ref="K88:Q91" totalsRowShown="0" headerRowDxfId="98" dataDxfId="97" tableBorderDxfId="96">
  <autoFilter ref="K88:Q91" xr:uid="{BCAC863B-97A5-4D09-A56B-1C4B32002AD8}"/>
  <tableColumns count="7">
    <tableColumn id="1" xr3:uid="{97B5187A-D7F3-4D37-BEBC-D412C077EED6}" name="Region" dataDxfId="95"/>
    <tableColumn id="2" xr3:uid="{6735E60E-D449-4DBE-AAC2-CC2B2A2B5A81}" name="Confirmed" dataDxfId="94"/>
    <tableColumn id="3" xr3:uid="{840EE923-E3B4-4914-B0DC-22C390CF30C5}" name="Active" dataDxfId="93"/>
    <tableColumn id="4" xr3:uid="{57439BB2-41FD-4AB5-B25A-E7432B58D318}" name="Recovered" dataDxfId="92"/>
    <tableColumn id="5" xr3:uid="{3BDF036B-06E6-4241-8810-9AB1901C4D2D}" name="Deceased" dataDxfId="91"/>
    <tableColumn id="6" xr3:uid="{DAD11EF0-E801-4219-AA2B-F291F29F4F86}" name="Tested" dataDxfId="90"/>
    <tableColumn id="7" xr3:uid="{6CF60E49-BA48-4B6E-850A-664BC157EE7B}" name="Last Updated Date" dataDxfId="8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2C421-7386-43B3-B0EB-AD83B19DCB24}" name="Table24678" displayName="Table24678" ref="K95:Q98" totalsRowShown="0" headerRowDxfId="88" dataDxfId="87" tableBorderDxfId="86">
  <autoFilter ref="K95:Q98" xr:uid="{6012C421-7386-43B3-B0EB-AD83B19DCB24}"/>
  <tableColumns count="7">
    <tableColumn id="1" xr3:uid="{2F2EC151-802F-4B01-88A8-75ABC6EFDF1F}" name="Region" dataDxfId="85"/>
    <tableColumn id="2" xr3:uid="{71C9B04A-5C01-4A85-A17B-D392E4AF7961}" name="Confirmed" dataDxfId="84"/>
    <tableColumn id="3" xr3:uid="{B6BB4C7F-8CD2-4808-B42F-AADAD096FCCA}" name="Active" dataDxfId="83"/>
    <tableColumn id="4" xr3:uid="{84B019E4-5121-4B8E-A969-4FC537708EAF}" name="Recovered" dataDxfId="82"/>
    <tableColumn id="5" xr3:uid="{A0466E1B-EC64-49FC-A8A4-4010861CD6CD}" name="Deceased" dataDxfId="81"/>
    <tableColumn id="6" xr3:uid="{93853235-F361-4DEC-B939-F56D39A3FD68}" name="Tested" dataDxfId="80"/>
    <tableColumn id="7" xr3:uid="{DBBF0621-9339-414D-8E4B-42B4DE4EA35B}" name="Last Updated Date" dataDxfId="7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DE8CEC-FF16-45B6-BF67-44EDB962523B}" name="Table246789" displayName="Table246789" ref="K113:Q116" totalsRowShown="0">
  <autoFilter ref="K113:Q116" xr:uid="{43DE8CEC-FF16-45B6-BF67-44EDB962523B}"/>
  <tableColumns count="7">
    <tableColumn id="1" xr3:uid="{EBBC261A-708A-4AC8-B157-283D39CD7590}" name="Region" dataDxfId="78"/>
    <tableColumn id="2" xr3:uid="{71EDF979-D68D-4651-96BC-CFFB3B718104}" name="Confirmed"/>
    <tableColumn id="3" xr3:uid="{AB51BE33-502E-4B03-BAA0-8C6047F508FF}" name="Active"/>
    <tableColumn id="4" xr3:uid="{7D98A45C-0A31-4EFC-9BCB-1BD1FC850965}" name="Recovered"/>
    <tableColumn id="5" xr3:uid="{CBC61484-EB19-4519-96C9-8C4C710DB6DD}" name="Deceased"/>
    <tableColumn id="6" xr3:uid="{914E9463-D2E2-478D-B8B9-C166877F57FA}" name="Tested"/>
    <tableColumn id="7" xr3:uid="{5E964313-E4DD-4D09-A462-332E5CCC370C}" name="Last Updated Dat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07A3C0-FDC1-41FF-9C00-E1D3767DFE12}" name="Table24678910" displayName="Table24678910" ref="K120:Q123" totalsRowShown="0" headerRowDxfId="77" dataDxfId="76" headerRowCellStyle="Bad">
  <autoFilter ref="K120:Q123" xr:uid="{C507A3C0-FDC1-41FF-9C00-E1D3767DFE12}"/>
  <tableColumns count="7">
    <tableColumn id="1" xr3:uid="{8CD8EF0A-2E85-4EE6-820C-F7CFFA8A5B75}" name="Region" dataDxfId="75"/>
    <tableColumn id="2" xr3:uid="{EB284E0A-0D2A-4F90-B566-6D70B9721805}" name="Confirmed" dataDxfId="74"/>
    <tableColumn id="3" xr3:uid="{025AA826-3C5D-4910-AA34-0B1098928423}" name="Active" dataDxfId="73"/>
    <tableColumn id="4" xr3:uid="{B4436B4E-547A-42AB-B6B6-07D9C9900FE4}" name="Recovered" dataDxfId="72"/>
    <tableColumn id="5" xr3:uid="{09830754-C96F-4D4F-800B-827D0C532884}" name="Deceased" dataDxfId="71"/>
    <tableColumn id="6" xr3:uid="{1CABB06B-15AD-4730-A76F-B23CB6F63D96}" name="Tested" dataDxfId="70"/>
    <tableColumn id="7" xr3:uid="{ED3F843F-0C24-4E51-BE66-C6C652B5AB9B}" name="Last Updated Date" dataDxfId="6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E09DB6-6DF9-43D3-B964-2E2E42A476FF}" name="Table24678910112" displayName="Table24678910112" ref="K145:Q148" totalsRowShown="0" headerRowDxfId="68" dataDxfId="67" tableBorderDxfId="66">
  <autoFilter ref="K145:Q148" xr:uid="{4DE09DB6-6DF9-43D3-B964-2E2E42A476FF}"/>
  <tableColumns count="7">
    <tableColumn id="1" xr3:uid="{012CC96D-F440-4708-B0B0-DD666162BD7B}" name="Region" dataDxfId="65"/>
    <tableColumn id="2" xr3:uid="{9C52BDDE-89AD-4B41-9ED5-DE5AC7D3F818}" name="Confirmed" dataDxfId="64"/>
    <tableColumn id="3" xr3:uid="{CFA39A84-5F1C-47A5-BFBF-AEC1B9C7F569}" name="Active" dataDxfId="63"/>
    <tableColumn id="4" xr3:uid="{ABC87D49-836E-4755-81BA-671138942BB2}" name="Recovered" dataDxfId="62"/>
    <tableColumn id="5" xr3:uid="{151A051F-7D1E-45CF-B2FE-426207BA1FAD}" name="Deceased" dataDxfId="61"/>
    <tableColumn id="6" xr3:uid="{38CB0E65-DDE7-48CC-B97C-518B2173100D}" name="Tested" dataDxfId="60"/>
    <tableColumn id="7" xr3:uid="{A412FF6F-FEE0-4B89-9DEF-2CC20A213931}" name="Last Updated Date" dataDxfId="5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F44A6-2BDC-4D94-B30F-808A460598DC}" name="Table246784" displayName="Table246784" ref="K102:R105" totalsRowShown="0" headerRowDxfId="58" dataDxfId="57" tableBorderDxfId="56">
  <autoFilter ref="K102:R105" xr:uid="{CDDF44A6-2BDC-4D94-B30F-808A460598DC}"/>
  <tableColumns count="8">
    <tableColumn id="1" xr3:uid="{FE97BDEC-E64D-4610-A6AF-7A7F70C75640}" name="Region" dataDxfId="55"/>
    <tableColumn id="2" xr3:uid="{4DCAD98F-BC16-4CBE-A3FB-66CC7B6E583E}" name="Confirmed" dataDxfId="54"/>
    <tableColumn id="3" xr3:uid="{C8D92B59-942A-42E5-B982-893F54A37C8F}" name="Active" dataDxfId="53"/>
    <tableColumn id="4" xr3:uid="{D2702E9A-2E51-41CA-9F73-A07B493273E7}" name="Recovered" dataDxfId="52"/>
    <tableColumn id="5" xr3:uid="{592CE930-5116-4384-990C-01B001DAB9FF}" name="Deceased" dataDxfId="51"/>
    <tableColumn id="6" xr3:uid="{AABE3690-1C6A-4531-882F-DCFCF4AAB511}" name="Tested" dataDxfId="50"/>
    <tableColumn id="7" xr3:uid="{742ECD72-FA0F-4B94-A5A4-95926B685B1D}" name="Last Updated Date" dataDxfId="49"/>
    <tableColumn id="8" xr3:uid="{C0452E91-2A20-4E8C-B7FE-78E7B9321856}" name="Cost" dataDxfId="4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54963C-BBF3-47F7-8FDE-673C81DAE573}" name="Table246789101125" displayName="Table246789101125" ref="K152:L157" totalsRowShown="0" headerRowDxfId="47" dataDxfId="46">
  <autoFilter ref="K152:L157" xr:uid="{8F54963C-BBF3-47F7-8FDE-673C81DAE573}"/>
  <tableColumns count="2">
    <tableColumn id="1" xr3:uid="{5EFC5569-21A6-4840-B40B-C576DBFAB298}" name="Region" dataDxfId="45"/>
    <tableColumn id="2" xr3:uid="{9425F49E-C99B-469F-9004-275CC715D154}" name="Region Type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ABF7-5DC0-4538-9DE9-5BDC0ED5F254}">
  <dimension ref="B1:W163"/>
  <sheetViews>
    <sheetView showGridLines="0" zoomScale="74" workbookViewId="0">
      <pane xSplit="9" topLeftCell="J1" activePane="topRight" state="frozen"/>
      <selection pane="topRight" activeCell="Q23" sqref="Q23"/>
    </sheetView>
  </sheetViews>
  <sheetFormatPr defaultRowHeight="14.4" x14ac:dyDescent="0.3"/>
  <cols>
    <col min="2" max="2" width="48.21875" bestFit="1" customWidth="1"/>
    <col min="4" max="4" width="9.6640625" bestFit="1" customWidth="1"/>
    <col min="5" max="5" width="8" bestFit="1" customWidth="1"/>
    <col min="11" max="11" width="15.44140625" bestFit="1" customWidth="1"/>
    <col min="12" max="12" width="14.44140625" bestFit="1" customWidth="1"/>
    <col min="13" max="13" width="10.44140625" bestFit="1" customWidth="1"/>
    <col min="14" max="14" width="14.109375" bestFit="1" customWidth="1"/>
    <col min="15" max="15" width="13.33203125" bestFit="1" customWidth="1"/>
    <col min="16" max="16" width="10.88671875" bestFit="1" customWidth="1"/>
    <col min="17" max="17" width="18.44140625" bestFit="1" customWidth="1"/>
    <col min="18" max="18" width="15.44140625" bestFit="1" customWidth="1"/>
    <col min="23" max="23" width="5.21875" bestFit="1" customWidth="1"/>
  </cols>
  <sheetData>
    <row r="1" spans="2:16" ht="14.4" customHeight="1" x14ac:dyDescent="0.35">
      <c r="B1" s="1" t="s">
        <v>0</v>
      </c>
      <c r="C1" s="2"/>
      <c r="E1" s="3"/>
    </row>
    <row r="2" spans="2:16" ht="14.4" customHeight="1" x14ac:dyDescent="0.3">
      <c r="C2" s="2"/>
    </row>
    <row r="3" spans="2:16" ht="14.4" customHeight="1" x14ac:dyDescent="0.3">
      <c r="B3" s="4">
        <v>1</v>
      </c>
      <c r="C3" s="2"/>
      <c r="D3" s="117" t="s">
        <v>1</v>
      </c>
      <c r="E3" s="117"/>
      <c r="F3" s="117"/>
      <c r="G3" s="117"/>
      <c r="H3" s="117"/>
      <c r="I3" s="117"/>
    </row>
    <row r="4" spans="2:16" ht="14.4" customHeight="1" x14ac:dyDescent="0.3">
      <c r="C4" s="2"/>
      <c r="D4" s="117"/>
      <c r="E4" s="117"/>
      <c r="F4" s="117"/>
      <c r="G4" s="117"/>
      <c r="H4" s="117"/>
      <c r="I4" s="117"/>
    </row>
    <row r="5" spans="2:16" ht="14.4" customHeight="1" x14ac:dyDescent="0.3">
      <c r="C5" s="2"/>
      <c r="K5" s="118" t="s">
        <v>2</v>
      </c>
      <c r="L5" s="118"/>
    </row>
    <row r="6" spans="2:16" ht="14.4" customHeight="1" x14ac:dyDescent="0.3">
      <c r="C6" s="2"/>
      <c r="D6" t="s">
        <v>3</v>
      </c>
      <c r="E6">
        <v>85130</v>
      </c>
    </row>
    <row r="7" spans="2:16" ht="14.4" customHeight="1" x14ac:dyDescent="0.3">
      <c r="C7" s="2"/>
      <c r="D7" t="s">
        <v>6</v>
      </c>
      <c r="E7" s="5">
        <v>218311</v>
      </c>
      <c r="K7" t="s">
        <v>4</v>
      </c>
      <c r="L7" t="s">
        <v>5</v>
      </c>
      <c r="M7" t="s">
        <v>3</v>
      </c>
      <c r="N7" t="s">
        <v>6</v>
      </c>
      <c r="O7" t="s">
        <v>7</v>
      </c>
      <c r="P7" t="s">
        <v>8</v>
      </c>
    </row>
    <row r="8" spans="2:16" ht="14.4" customHeight="1" x14ac:dyDescent="0.3">
      <c r="C8" s="2"/>
      <c r="D8" t="s">
        <v>7</v>
      </c>
      <c r="E8" s="6">
        <v>2820</v>
      </c>
      <c r="K8" t="s">
        <v>9</v>
      </c>
      <c r="L8">
        <v>349654</v>
      </c>
      <c r="M8">
        <v>53860</v>
      </c>
      <c r="N8">
        <v>289787</v>
      </c>
      <c r="O8">
        <v>6007</v>
      </c>
      <c r="P8">
        <v>3850000</v>
      </c>
    </row>
    <row r="9" spans="2:16" ht="14.4" customHeight="1" x14ac:dyDescent="0.3">
      <c r="C9" s="2"/>
      <c r="D9" t="s">
        <v>5</v>
      </c>
      <c r="E9" s="7">
        <f>SUM(E6:E8)</f>
        <v>306261</v>
      </c>
      <c r="K9" t="s">
        <v>10</v>
      </c>
      <c r="L9" s="7">
        <f>SUM(E7:E9)</f>
        <v>527392</v>
      </c>
      <c r="M9">
        <v>85130</v>
      </c>
      <c r="N9">
        <v>218311</v>
      </c>
      <c r="O9">
        <v>2820</v>
      </c>
      <c r="P9">
        <v>2960000</v>
      </c>
    </row>
    <row r="10" spans="2:16" ht="14.4" customHeight="1" x14ac:dyDescent="0.3">
      <c r="C10" s="2"/>
      <c r="D10" t="s">
        <v>8</v>
      </c>
      <c r="E10">
        <v>2960000</v>
      </c>
      <c r="K10" t="s">
        <v>11</v>
      </c>
      <c r="L10">
        <v>615165</v>
      </c>
      <c r="M10">
        <v>156608</v>
      </c>
      <c r="N10">
        <v>437870</v>
      </c>
      <c r="O10">
        <v>20687</v>
      </c>
      <c r="P10">
        <v>3270000</v>
      </c>
    </row>
    <row r="11" spans="2:16" ht="14.4" customHeight="1" x14ac:dyDescent="0.3">
      <c r="C11" s="2"/>
    </row>
    <row r="12" spans="2:16" ht="14.4" customHeight="1" x14ac:dyDescent="0.3">
      <c r="B12" s="4">
        <v>2</v>
      </c>
      <c r="C12" s="2"/>
      <c r="D12" s="117" t="s">
        <v>12</v>
      </c>
      <c r="E12" s="117"/>
      <c r="F12" s="117"/>
      <c r="G12" s="117"/>
      <c r="H12" s="117"/>
      <c r="I12" s="117"/>
    </row>
    <row r="13" spans="2:16" ht="14.4" customHeight="1" x14ac:dyDescent="0.3">
      <c r="C13" s="2"/>
      <c r="D13" s="117"/>
      <c r="E13" s="117"/>
      <c r="F13" s="117"/>
      <c r="G13" s="117"/>
      <c r="H13" s="117"/>
      <c r="I13" s="117"/>
      <c r="K13" s="118" t="s">
        <v>2</v>
      </c>
      <c r="L13" s="118"/>
    </row>
    <row r="14" spans="2:16" ht="14.4" customHeight="1" x14ac:dyDescent="0.3">
      <c r="C14" s="2"/>
    </row>
    <row r="15" spans="2:16" ht="14.4" customHeight="1" x14ac:dyDescent="0.3">
      <c r="C15" s="2"/>
      <c r="D15" t="s">
        <v>5</v>
      </c>
      <c r="E15">
        <v>154741</v>
      </c>
      <c r="K15" s="8" t="s">
        <v>4</v>
      </c>
      <c r="L15" s="8" t="s">
        <v>5</v>
      </c>
      <c r="M15" s="8" t="s">
        <v>3</v>
      </c>
      <c r="N15" s="8" t="s">
        <v>6</v>
      </c>
      <c r="O15" s="8" t="s">
        <v>7</v>
      </c>
      <c r="P15" s="8" t="s">
        <v>8</v>
      </c>
    </row>
    <row r="16" spans="2:16" ht="14.4" customHeight="1" x14ac:dyDescent="0.3">
      <c r="C16" s="2"/>
      <c r="D16" t="s">
        <v>3</v>
      </c>
      <c r="E16">
        <v>11068</v>
      </c>
      <c r="K16" s="8" t="s">
        <v>9</v>
      </c>
      <c r="L16" s="8">
        <v>349654</v>
      </c>
      <c r="M16" s="8">
        <v>53860</v>
      </c>
      <c r="N16" s="8">
        <v>289787</v>
      </c>
      <c r="O16" s="8">
        <v>6007</v>
      </c>
      <c r="P16" s="8">
        <v>3850000</v>
      </c>
    </row>
    <row r="17" spans="2:23" ht="14.4" customHeight="1" x14ac:dyDescent="0.3">
      <c r="C17" s="2"/>
      <c r="D17" t="s">
        <v>6</v>
      </c>
      <c r="E17">
        <v>139447</v>
      </c>
      <c r="K17" s="8" t="s">
        <v>13</v>
      </c>
      <c r="L17">
        <v>154741</v>
      </c>
      <c r="M17">
        <v>11068</v>
      </c>
      <c r="N17">
        <v>139447</v>
      </c>
      <c r="O17">
        <v>4226</v>
      </c>
      <c r="P17">
        <v>1340000</v>
      </c>
    </row>
    <row r="18" spans="2:23" ht="14.4" customHeight="1" x14ac:dyDescent="0.3">
      <c r="C18" s="2"/>
      <c r="D18" t="s">
        <v>7</v>
      </c>
      <c r="E18">
        <v>4226</v>
      </c>
      <c r="K18" s="8" t="s">
        <v>11</v>
      </c>
      <c r="L18" s="8">
        <v>615165</v>
      </c>
      <c r="M18" s="8">
        <v>156608</v>
      </c>
      <c r="N18" s="8">
        <v>437870</v>
      </c>
      <c r="O18" s="8">
        <v>20687</v>
      </c>
      <c r="P18" s="8">
        <v>3270000</v>
      </c>
    </row>
    <row r="19" spans="2:23" ht="14.4" customHeight="1" x14ac:dyDescent="0.3">
      <c r="C19" s="2"/>
      <c r="D19" t="s">
        <v>8</v>
      </c>
      <c r="E19">
        <v>1340000</v>
      </c>
    </row>
    <row r="20" spans="2:23" ht="14.4" customHeight="1" x14ac:dyDescent="0.3">
      <c r="C20" s="2"/>
    </row>
    <row r="21" spans="2:23" ht="14.4" customHeight="1" x14ac:dyDescent="0.3">
      <c r="C21" s="2"/>
    </row>
    <row r="22" spans="2:23" ht="14.4" customHeight="1" x14ac:dyDescent="0.3">
      <c r="B22" s="4">
        <v>3</v>
      </c>
      <c r="C22" s="2"/>
      <c r="D22" s="116" t="s">
        <v>14</v>
      </c>
      <c r="E22" s="116"/>
      <c r="F22" s="116"/>
      <c r="G22" s="116"/>
      <c r="H22" s="116"/>
      <c r="I22" s="116"/>
    </row>
    <row r="23" spans="2:23" ht="14.4" customHeight="1" x14ac:dyDescent="0.3">
      <c r="C23" s="2"/>
      <c r="D23" s="116"/>
      <c r="E23" s="116"/>
      <c r="F23" s="116"/>
      <c r="G23" s="116"/>
      <c r="H23" s="116"/>
      <c r="I23" s="116"/>
      <c r="K23" s="118" t="s">
        <v>2</v>
      </c>
      <c r="L23" s="118"/>
    </row>
    <row r="24" spans="2:23" ht="14.4" customHeight="1" x14ac:dyDescent="0.3">
      <c r="C24" s="2"/>
    </row>
    <row r="25" spans="2:23" ht="14.4" customHeight="1" x14ac:dyDescent="0.3">
      <c r="C25" s="2"/>
      <c r="K25" t="s">
        <v>15</v>
      </c>
      <c r="L25" t="s">
        <v>5</v>
      </c>
      <c r="M25" t="s">
        <v>3</v>
      </c>
      <c r="N25" t="s">
        <v>6</v>
      </c>
      <c r="O25" t="s">
        <v>7</v>
      </c>
      <c r="P25" t="s">
        <v>8</v>
      </c>
    </row>
    <row r="26" spans="2:23" ht="14.4" customHeight="1" x14ac:dyDescent="0.3">
      <c r="C26" s="2"/>
      <c r="K26" t="s">
        <v>13</v>
      </c>
      <c r="L26">
        <v>615165</v>
      </c>
      <c r="M26">
        <v>156608</v>
      </c>
      <c r="N26">
        <v>437870</v>
      </c>
      <c r="O26">
        <v>20687</v>
      </c>
      <c r="P26">
        <v>3270000</v>
      </c>
    </row>
    <row r="27" spans="2:23" ht="14.4" customHeight="1" x14ac:dyDescent="0.3">
      <c r="C27" s="2"/>
      <c r="K27" t="s">
        <v>9</v>
      </c>
      <c r="L27">
        <v>349654</v>
      </c>
      <c r="M27">
        <v>53860</v>
      </c>
      <c r="N27">
        <v>289787</v>
      </c>
      <c r="O27">
        <v>6007</v>
      </c>
      <c r="P27">
        <v>3850000</v>
      </c>
      <c r="W27" t="s">
        <v>276</v>
      </c>
    </row>
    <row r="28" spans="2:23" ht="14.4" customHeight="1" x14ac:dyDescent="0.3">
      <c r="C28" s="2"/>
      <c r="K28" t="s">
        <v>10</v>
      </c>
      <c r="L28">
        <v>306261</v>
      </c>
      <c r="M28">
        <v>85130</v>
      </c>
      <c r="N28">
        <v>218311</v>
      </c>
      <c r="O28">
        <v>2820</v>
      </c>
      <c r="P28">
        <v>2960000</v>
      </c>
      <c r="W28" t="s">
        <v>20</v>
      </c>
    </row>
    <row r="29" spans="2:23" ht="14.4" customHeight="1" x14ac:dyDescent="0.3">
      <c r="B29" s="4">
        <v>4</v>
      </c>
      <c r="C29" s="2"/>
      <c r="D29" s="116" t="s">
        <v>16</v>
      </c>
      <c r="E29" s="116"/>
      <c r="F29" s="116"/>
      <c r="G29" s="116"/>
      <c r="H29" s="116"/>
      <c r="I29" s="116"/>
    </row>
    <row r="30" spans="2:23" ht="14.4" customHeight="1" x14ac:dyDescent="0.3">
      <c r="C30" s="2"/>
      <c r="D30" s="116"/>
      <c r="E30" s="116"/>
      <c r="F30" s="116"/>
      <c r="G30" s="116"/>
      <c r="H30" s="116"/>
      <c r="I30" s="116"/>
      <c r="K30" s="118" t="s">
        <v>2</v>
      </c>
      <c r="L30" s="118"/>
    </row>
    <row r="31" spans="2:23" ht="14.4" customHeight="1" x14ac:dyDescent="0.3">
      <c r="C31" s="2"/>
    </row>
    <row r="32" spans="2:23" ht="14.4" customHeight="1" x14ac:dyDescent="0.3">
      <c r="C32" s="2"/>
      <c r="K32" t="s">
        <v>15</v>
      </c>
      <c r="L32" t="s">
        <v>5</v>
      </c>
      <c r="M32" t="s">
        <v>3</v>
      </c>
      <c r="N32" t="s">
        <v>6</v>
      </c>
      <c r="O32" t="s">
        <v>7</v>
      </c>
      <c r="P32" t="s">
        <v>8</v>
      </c>
    </row>
    <row r="33" spans="2:17" ht="14.4" hidden="1" customHeight="1" x14ac:dyDescent="0.3">
      <c r="C33" s="2"/>
      <c r="K33" t="s">
        <v>9</v>
      </c>
      <c r="L33">
        <v>349654</v>
      </c>
      <c r="M33">
        <v>53860</v>
      </c>
      <c r="N33">
        <v>289787</v>
      </c>
      <c r="O33">
        <v>6007</v>
      </c>
      <c r="P33">
        <v>3850000</v>
      </c>
    </row>
    <row r="34" spans="2:17" ht="14.4" hidden="1" customHeight="1" x14ac:dyDescent="0.3">
      <c r="C34" s="2"/>
      <c r="K34" t="s">
        <v>10</v>
      </c>
      <c r="L34">
        <v>306261</v>
      </c>
      <c r="M34">
        <v>85130</v>
      </c>
      <c r="N34">
        <v>218311</v>
      </c>
      <c r="O34">
        <v>2820</v>
      </c>
      <c r="P34">
        <v>2960000</v>
      </c>
    </row>
    <row r="35" spans="2:17" ht="14.4" hidden="1" customHeight="1" x14ac:dyDescent="0.3">
      <c r="C35" s="2"/>
      <c r="K35" t="s">
        <v>9</v>
      </c>
      <c r="L35">
        <v>349654</v>
      </c>
      <c r="M35">
        <v>53860</v>
      </c>
      <c r="N35">
        <v>289787</v>
      </c>
      <c r="O35">
        <v>6007</v>
      </c>
      <c r="P35">
        <v>3850000</v>
      </c>
    </row>
    <row r="36" spans="2:17" ht="14.4" hidden="1" customHeight="1" x14ac:dyDescent="0.3">
      <c r="C36" s="2"/>
      <c r="K36" t="s">
        <v>10</v>
      </c>
      <c r="L36">
        <v>306261</v>
      </c>
      <c r="M36">
        <v>85130</v>
      </c>
      <c r="N36">
        <v>218311</v>
      </c>
      <c r="O36">
        <v>2820</v>
      </c>
      <c r="P36">
        <v>2960000</v>
      </c>
    </row>
    <row r="37" spans="2:17" ht="14.4" customHeight="1" x14ac:dyDescent="0.45">
      <c r="C37" s="2"/>
      <c r="E37" s="9"/>
      <c r="I37" s="9"/>
      <c r="K37" t="s">
        <v>13</v>
      </c>
      <c r="L37">
        <v>615165</v>
      </c>
      <c r="M37">
        <v>156608</v>
      </c>
      <c r="N37">
        <v>437870</v>
      </c>
      <c r="O37">
        <v>20687</v>
      </c>
      <c r="P37">
        <v>3270000</v>
      </c>
    </row>
    <row r="38" spans="2:17" ht="23.4" x14ac:dyDescent="0.45">
      <c r="J38" s="9"/>
    </row>
    <row r="39" spans="2:17" x14ac:dyDescent="0.3">
      <c r="B39" s="4">
        <v>5</v>
      </c>
      <c r="C39" s="2"/>
      <c r="D39" s="116" t="s">
        <v>17</v>
      </c>
      <c r="E39" s="116"/>
      <c r="F39" s="116"/>
      <c r="G39" s="116"/>
      <c r="H39" s="116"/>
      <c r="I39" s="116"/>
    </row>
    <row r="40" spans="2:17" ht="14.4" customHeight="1" x14ac:dyDescent="0.3">
      <c r="C40" s="2"/>
      <c r="D40" s="116"/>
      <c r="E40" s="116"/>
      <c r="F40" s="116"/>
      <c r="G40" s="116"/>
      <c r="H40" s="116"/>
      <c r="I40" s="116"/>
      <c r="K40" s="118" t="s">
        <v>2</v>
      </c>
      <c r="L40" s="118"/>
    </row>
    <row r="41" spans="2:17" ht="14.4" customHeight="1" x14ac:dyDescent="0.3">
      <c r="C41" s="2"/>
    </row>
    <row r="42" spans="2:17" ht="14.4" customHeight="1" x14ac:dyDescent="0.3">
      <c r="C42" s="2"/>
      <c r="K42" t="s">
        <v>15</v>
      </c>
      <c r="L42" t="s">
        <v>19</v>
      </c>
      <c r="M42" t="s">
        <v>3</v>
      </c>
      <c r="N42" t="s">
        <v>6</v>
      </c>
      <c r="O42" t="s">
        <v>7</v>
      </c>
      <c r="P42" t="s">
        <v>8</v>
      </c>
      <c r="Q42" t="s">
        <v>275</v>
      </c>
    </row>
    <row r="43" spans="2:17" ht="14.4" customHeight="1" x14ac:dyDescent="0.3">
      <c r="C43" s="2"/>
      <c r="K43" t="s">
        <v>13</v>
      </c>
      <c r="L43">
        <v>615165</v>
      </c>
      <c r="M43">
        <v>156608</v>
      </c>
      <c r="N43">
        <v>437870</v>
      </c>
      <c r="O43">
        <v>20687</v>
      </c>
      <c r="P43">
        <v>3270000</v>
      </c>
      <c r="Q43" t="s">
        <v>276</v>
      </c>
    </row>
    <row r="44" spans="2:17" ht="14.4" customHeight="1" x14ac:dyDescent="0.3">
      <c r="C44" s="2"/>
      <c r="K44" t="s">
        <v>9</v>
      </c>
      <c r="L44">
        <v>349654</v>
      </c>
      <c r="M44">
        <v>53860</v>
      </c>
      <c r="N44">
        <v>289787</v>
      </c>
      <c r="O44">
        <v>6007</v>
      </c>
      <c r="P44">
        <v>3850000</v>
      </c>
      <c r="Q44" t="s">
        <v>20</v>
      </c>
    </row>
    <row r="45" spans="2:17" ht="14.4" customHeight="1" x14ac:dyDescent="0.3">
      <c r="C45" s="2"/>
      <c r="K45" t="s">
        <v>10</v>
      </c>
      <c r="L45">
        <v>306261</v>
      </c>
      <c r="M45">
        <v>85130</v>
      </c>
      <c r="N45">
        <v>218311</v>
      </c>
      <c r="O45">
        <v>2820</v>
      </c>
      <c r="P45">
        <v>2960000</v>
      </c>
      <c r="Q45" t="s">
        <v>20</v>
      </c>
    </row>
    <row r="46" spans="2:17" ht="14.4" customHeight="1" x14ac:dyDescent="0.3">
      <c r="B46" s="4">
        <v>6</v>
      </c>
      <c r="C46" s="2"/>
      <c r="D46" s="116" t="s">
        <v>21</v>
      </c>
      <c r="E46" s="116"/>
      <c r="F46" s="116"/>
      <c r="G46" s="116"/>
      <c r="H46" s="116"/>
      <c r="I46" s="116"/>
    </row>
    <row r="47" spans="2:17" ht="14.4" customHeight="1" x14ac:dyDescent="0.3">
      <c r="C47" s="2"/>
      <c r="D47" s="116"/>
      <c r="E47" s="116"/>
      <c r="F47" s="116"/>
      <c r="G47" s="116"/>
      <c r="H47" s="116"/>
      <c r="I47" s="116"/>
      <c r="K47" s="118" t="s">
        <v>2</v>
      </c>
      <c r="L47" s="118"/>
    </row>
    <row r="48" spans="2:17" ht="14.4" customHeight="1" x14ac:dyDescent="0.3">
      <c r="C48" s="2"/>
      <c r="D48" s="116"/>
      <c r="E48" s="116"/>
      <c r="F48" s="116"/>
      <c r="G48" s="116"/>
      <c r="H48" s="116"/>
      <c r="I48" s="116"/>
    </row>
    <row r="49" spans="2:16" ht="14.4" customHeight="1" x14ac:dyDescent="0.3">
      <c r="C49" s="2"/>
      <c r="D49" s="116"/>
      <c r="E49" s="116"/>
      <c r="F49" s="116"/>
      <c r="G49" s="116"/>
      <c r="H49" s="116"/>
      <c r="I49" s="116"/>
      <c r="K49" t="s">
        <v>15</v>
      </c>
      <c r="L49" t="s">
        <v>5</v>
      </c>
      <c r="M49" t="s">
        <v>3</v>
      </c>
      <c r="N49" t="s">
        <v>6</v>
      </c>
      <c r="O49" t="s">
        <v>7</v>
      </c>
      <c r="P49" t="s">
        <v>8</v>
      </c>
    </row>
    <row r="50" spans="2:16" ht="14.4" customHeight="1" x14ac:dyDescent="0.3">
      <c r="C50" s="2"/>
      <c r="D50" s="116"/>
      <c r="E50" s="116"/>
      <c r="F50" s="116"/>
      <c r="G50" s="116"/>
      <c r="H50" s="116"/>
      <c r="I50" s="116"/>
      <c r="K50" t="s">
        <v>13</v>
      </c>
      <c r="L50">
        <v>615165</v>
      </c>
      <c r="M50">
        <v>156608</v>
      </c>
      <c r="N50">
        <v>437870</v>
      </c>
      <c r="O50">
        <v>20687</v>
      </c>
      <c r="P50">
        <v>3270000</v>
      </c>
    </row>
    <row r="51" spans="2:16" ht="14.4" customHeight="1" x14ac:dyDescent="0.3">
      <c r="C51" s="2"/>
      <c r="K51" t="s">
        <v>9</v>
      </c>
      <c r="L51">
        <v>349654</v>
      </c>
      <c r="M51">
        <v>53860</v>
      </c>
      <c r="N51">
        <v>289787</v>
      </c>
      <c r="O51">
        <v>6007</v>
      </c>
      <c r="P51">
        <v>3850000</v>
      </c>
    </row>
    <row r="52" spans="2:16" ht="14.4" customHeight="1" x14ac:dyDescent="0.3">
      <c r="C52" s="2"/>
      <c r="K52" t="s">
        <v>10</v>
      </c>
      <c r="L52">
        <v>306261</v>
      </c>
      <c r="M52">
        <v>85130</v>
      </c>
      <c r="N52">
        <v>218311</v>
      </c>
      <c r="O52">
        <v>2820</v>
      </c>
      <c r="P52">
        <v>2960000</v>
      </c>
    </row>
    <row r="53" spans="2:16" ht="14.4" customHeight="1" x14ac:dyDescent="0.3">
      <c r="B53" s="4">
        <v>7</v>
      </c>
      <c r="C53" s="2"/>
      <c r="D53" s="116" t="s">
        <v>22</v>
      </c>
      <c r="E53" s="116"/>
      <c r="F53" s="116"/>
      <c r="G53" s="116"/>
      <c r="H53" s="116"/>
      <c r="I53" s="116"/>
    </row>
    <row r="54" spans="2:16" ht="14.4" customHeight="1" x14ac:dyDescent="0.3">
      <c r="C54" s="2"/>
      <c r="D54" s="116"/>
      <c r="E54" s="116"/>
      <c r="F54" s="116"/>
      <c r="G54" s="116"/>
      <c r="H54" s="116"/>
      <c r="I54" s="116"/>
    </row>
    <row r="55" spans="2:16" ht="14.4" customHeight="1" x14ac:dyDescent="0.3">
      <c r="C55" s="2"/>
      <c r="K55" t="s">
        <v>277</v>
      </c>
      <c r="L55" t="s">
        <v>278</v>
      </c>
    </row>
    <row r="56" spans="2:16" ht="14.4" customHeight="1" x14ac:dyDescent="0.3">
      <c r="C56" s="2"/>
    </row>
    <row r="57" spans="2:16" ht="14.4" customHeight="1" x14ac:dyDescent="0.3">
      <c r="B57" s="4">
        <v>9</v>
      </c>
      <c r="C57" s="2"/>
      <c r="D57" s="116" t="s">
        <v>23</v>
      </c>
      <c r="E57" s="116"/>
      <c r="F57" s="116"/>
      <c r="G57" s="116"/>
      <c r="H57" s="116"/>
      <c r="I57" s="116"/>
    </row>
    <row r="58" spans="2:16" ht="14.4" customHeight="1" x14ac:dyDescent="0.3">
      <c r="C58" s="2"/>
    </row>
    <row r="59" spans="2:16" ht="14.4" customHeight="1" x14ac:dyDescent="0.3">
      <c r="C59" s="2"/>
    </row>
    <row r="60" spans="2:16" ht="14.4" customHeight="1" x14ac:dyDescent="0.3">
      <c r="C60" s="2"/>
      <c r="K60" t="s">
        <v>279</v>
      </c>
    </row>
    <row r="61" spans="2:16" ht="14.4" customHeight="1" x14ac:dyDescent="0.3">
      <c r="C61" s="2"/>
    </row>
    <row r="62" spans="2:16" ht="14.4" customHeight="1" x14ac:dyDescent="0.3">
      <c r="C62" s="2"/>
    </row>
    <row r="63" spans="2:16" ht="14.4" customHeight="1" x14ac:dyDescent="0.3">
      <c r="B63" s="4">
        <v>10</v>
      </c>
      <c r="C63" s="2"/>
      <c r="D63" s="116" t="s">
        <v>24</v>
      </c>
      <c r="E63" s="116"/>
      <c r="F63" s="116"/>
      <c r="G63" s="116"/>
      <c r="H63" s="116"/>
      <c r="I63" s="116"/>
    </row>
    <row r="64" spans="2:16" ht="14.4" customHeight="1" x14ac:dyDescent="0.3">
      <c r="C64" s="2"/>
      <c r="K64" s="118" t="s">
        <v>2</v>
      </c>
      <c r="L64" s="118"/>
    </row>
    <row r="65" spans="2:16" ht="14.4" customHeight="1" x14ac:dyDescent="0.3">
      <c r="C65" s="2"/>
      <c r="E65" s="10"/>
    </row>
    <row r="66" spans="2:16" ht="14.4" customHeight="1" x14ac:dyDescent="0.3">
      <c r="C66" s="2"/>
      <c r="K66" s="10" t="s">
        <v>15</v>
      </c>
      <c r="L66" s="10" t="s">
        <v>5</v>
      </c>
      <c r="M66" s="10" t="s">
        <v>3</v>
      </c>
      <c r="N66" s="10" t="s">
        <v>6</v>
      </c>
      <c r="O66" s="10" t="s">
        <v>7</v>
      </c>
      <c r="P66" s="10" t="s">
        <v>8</v>
      </c>
    </row>
    <row r="67" spans="2:16" ht="14.4" customHeight="1" x14ac:dyDescent="0.3">
      <c r="C67" s="2"/>
      <c r="K67" t="s">
        <v>13</v>
      </c>
      <c r="L67">
        <v>615165</v>
      </c>
      <c r="M67">
        <v>156608</v>
      </c>
      <c r="N67">
        <v>437870</v>
      </c>
      <c r="O67">
        <v>20687</v>
      </c>
      <c r="P67">
        <v>3270000</v>
      </c>
    </row>
    <row r="68" spans="2:16" ht="14.4" customHeight="1" x14ac:dyDescent="0.3">
      <c r="C68" s="2"/>
      <c r="K68" t="s">
        <v>9</v>
      </c>
      <c r="L68">
        <v>349654</v>
      </c>
      <c r="M68">
        <v>53860</v>
      </c>
      <c r="N68">
        <v>289787</v>
      </c>
      <c r="O68">
        <v>6007</v>
      </c>
      <c r="P68">
        <v>3850000</v>
      </c>
    </row>
    <row r="69" spans="2:16" ht="14.4" customHeight="1" x14ac:dyDescent="0.3">
      <c r="C69" s="2"/>
      <c r="K69" t="s">
        <v>10</v>
      </c>
      <c r="L69">
        <v>306261</v>
      </c>
      <c r="M69">
        <v>85130</v>
      </c>
      <c r="N69">
        <v>218311</v>
      </c>
      <c r="O69">
        <v>2820</v>
      </c>
      <c r="P69">
        <v>2960000</v>
      </c>
    </row>
    <row r="70" spans="2:16" ht="14.4" customHeight="1" x14ac:dyDescent="0.3">
      <c r="B70" s="4">
        <v>11</v>
      </c>
      <c r="C70" s="2"/>
      <c r="D70" s="116" t="s">
        <v>25</v>
      </c>
      <c r="E70" s="116"/>
      <c r="F70" s="116"/>
      <c r="G70" s="116"/>
      <c r="H70" s="116"/>
      <c r="I70" s="116"/>
    </row>
    <row r="71" spans="2:16" ht="14.4" customHeight="1" x14ac:dyDescent="0.3">
      <c r="C71" s="2"/>
      <c r="K71" s="118" t="s">
        <v>2</v>
      </c>
      <c r="L71" s="118"/>
    </row>
    <row r="72" spans="2:16" ht="14.4" customHeight="1" x14ac:dyDescent="0.3">
      <c r="C72" s="2"/>
    </row>
    <row r="73" spans="2:16" ht="14.4" customHeight="1" x14ac:dyDescent="0.3">
      <c r="C73" s="2"/>
      <c r="K73" s="11" t="s">
        <v>15</v>
      </c>
      <c r="L73" s="11" t="s">
        <v>5</v>
      </c>
      <c r="M73" s="11" t="s">
        <v>3</v>
      </c>
      <c r="N73" s="11" t="s">
        <v>6</v>
      </c>
      <c r="O73" s="11" t="s">
        <v>7</v>
      </c>
      <c r="P73" s="11" t="s">
        <v>8</v>
      </c>
    </row>
    <row r="74" spans="2:16" ht="14.4" customHeight="1" x14ac:dyDescent="0.3">
      <c r="C74" s="2"/>
      <c r="K74" s="11" t="s">
        <v>13</v>
      </c>
      <c r="L74" s="11">
        <v>615165</v>
      </c>
      <c r="M74" s="11">
        <v>156608</v>
      </c>
      <c r="N74" s="11">
        <v>437870</v>
      </c>
      <c r="O74" s="11">
        <v>20687</v>
      </c>
      <c r="P74" s="11">
        <v>3270000</v>
      </c>
    </row>
    <row r="75" spans="2:16" ht="14.4" customHeight="1" x14ac:dyDescent="0.3">
      <c r="C75" s="2"/>
      <c r="K75" s="11" t="s">
        <v>9</v>
      </c>
      <c r="L75" s="11">
        <v>349654</v>
      </c>
      <c r="M75" s="11">
        <v>53860</v>
      </c>
      <c r="N75" s="11">
        <v>289787</v>
      </c>
      <c r="O75" s="11">
        <v>6007</v>
      </c>
      <c r="P75" s="11">
        <v>3850000</v>
      </c>
    </row>
    <row r="76" spans="2:16" ht="14.4" customHeight="1" x14ac:dyDescent="0.3">
      <c r="C76" s="2"/>
      <c r="K76" s="11" t="s">
        <v>10</v>
      </c>
      <c r="L76" s="11">
        <v>306261</v>
      </c>
      <c r="M76" s="11">
        <v>85130</v>
      </c>
      <c r="N76" s="11">
        <v>218311</v>
      </c>
      <c r="O76" s="11">
        <v>2820</v>
      </c>
      <c r="P76" s="11">
        <v>2960000</v>
      </c>
    </row>
    <row r="77" spans="2:16" ht="14.4" customHeight="1" x14ac:dyDescent="0.3">
      <c r="C77" s="2"/>
    </row>
    <row r="78" spans="2:16" ht="14.4" customHeight="1" x14ac:dyDescent="0.3">
      <c r="B78" s="4">
        <v>12</v>
      </c>
      <c r="C78" s="2"/>
      <c r="D78" s="116" t="s">
        <v>26</v>
      </c>
      <c r="E78" s="116"/>
      <c r="F78" s="116"/>
      <c r="G78" s="116"/>
      <c r="H78" s="116"/>
      <c r="I78" s="116"/>
    </row>
    <row r="79" spans="2:16" ht="14.4" customHeight="1" x14ac:dyDescent="0.3">
      <c r="C79" s="2"/>
      <c r="K79" s="118" t="s">
        <v>2</v>
      </c>
      <c r="L79" s="118"/>
    </row>
    <row r="80" spans="2:16" ht="14.4" customHeight="1" x14ac:dyDescent="0.3">
      <c r="C80" s="2"/>
    </row>
    <row r="81" spans="2:17" ht="14.4" customHeight="1" x14ac:dyDescent="0.3">
      <c r="C81" s="2"/>
      <c r="K81" s="11" t="s">
        <v>15</v>
      </c>
      <c r="L81" s="11" t="s">
        <v>5</v>
      </c>
      <c r="M81" s="11" t="s">
        <v>3</v>
      </c>
      <c r="N81" s="11" t="s">
        <v>6</v>
      </c>
      <c r="O81" s="11" t="s">
        <v>7</v>
      </c>
      <c r="P81" s="11" t="s">
        <v>8</v>
      </c>
      <c r="Q81" s="12" t="s">
        <v>27</v>
      </c>
    </row>
    <row r="82" spans="2:17" ht="14.4" customHeight="1" x14ac:dyDescent="0.3">
      <c r="C82" s="2"/>
      <c r="K82" s="11" t="s">
        <v>13</v>
      </c>
      <c r="L82" s="11">
        <v>615165</v>
      </c>
      <c r="M82" s="11">
        <v>156608</v>
      </c>
      <c r="N82" s="11">
        <v>437870</v>
      </c>
      <c r="O82" s="11">
        <v>20687</v>
      </c>
      <c r="P82" s="11">
        <v>3270000</v>
      </c>
      <c r="Q82" s="11"/>
    </row>
    <row r="83" spans="2:17" ht="14.4" customHeight="1" x14ac:dyDescent="0.3">
      <c r="C83" s="2"/>
      <c r="K83" s="11" t="s">
        <v>9</v>
      </c>
      <c r="L83" s="11">
        <v>349654</v>
      </c>
      <c r="M83" s="11">
        <v>53860</v>
      </c>
      <c r="N83" s="11">
        <v>289787</v>
      </c>
      <c r="O83" s="11">
        <v>6007</v>
      </c>
      <c r="P83" s="11">
        <v>3850000</v>
      </c>
      <c r="Q83" s="11"/>
    </row>
    <row r="84" spans="2:17" ht="14.4" customHeight="1" x14ac:dyDescent="0.3">
      <c r="C84" s="2"/>
      <c r="K84" s="11" t="s">
        <v>10</v>
      </c>
      <c r="L84" s="11">
        <v>306261</v>
      </c>
      <c r="M84" s="11">
        <v>85130</v>
      </c>
      <c r="N84" s="11">
        <v>218311</v>
      </c>
      <c r="O84" s="11">
        <v>2820</v>
      </c>
      <c r="P84" s="11">
        <v>2960000</v>
      </c>
      <c r="Q84" s="11"/>
    </row>
    <row r="85" spans="2:17" ht="14.4" customHeight="1" x14ac:dyDescent="0.3">
      <c r="B85" s="4">
        <v>13</v>
      </c>
      <c r="C85" s="2"/>
      <c r="D85" s="116" t="s">
        <v>28</v>
      </c>
      <c r="E85" s="116"/>
      <c r="F85" s="116"/>
      <c r="G85" s="116"/>
      <c r="H85" s="116"/>
      <c r="I85" s="116"/>
    </row>
    <row r="86" spans="2:17" ht="14.4" customHeight="1" x14ac:dyDescent="0.3">
      <c r="C86" s="2"/>
      <c r="D86" s="116"/>
      <c r="E86" s="116"/>
      <c r="F86" s="116"/>
      <c r="G86" s="116"/>
      <c r="H86" s="116"/>
      <c r="I86" s="116"/>
      <c r="K86" s="119" t="s">
        <v>2</v>
      </c>
      <c r="L86" s="119"/>
      <c r="M86" s="119"/>
      <c r="N86" s="119"/>
      <c r="O86" s="119"/>
      <c r="P86" s="119"/>
      <c r="Q86" s="119"/>
    </row>
    <row r="87" spans="2:17" ht="14.4" customHeight="1" x14ac:dyDescent="0.3">
      <c r="C87" s="2"/>
    </row>
    <row r="88" spans="2:17" ht="14.4" customHeight="1" x14ac:dyDescent="0.3">
      <c r="C88" s="2"/>
      <c r="K88" s="11" t="s">
        <v>15</v>
      </c>
      <c r="L88" s="11" t="s">
        <v>5</v>
      </c>
      <c r="M88" s="11" t="s">
        <v>3</v>
      </c>
      <c r="N88" s="11" t="s">
        <v>6</v>
      </c>
      <c r="O88" s="11" t="s">
        <v>7</v>
      </c>
      <c r="P88" s="11" t="s">
        <v>8</v>
      </c>
      <c r="Q88" s="11" t="s">
        <v>27</v>
      </c>
    </row>
    <row r="89" spans="2:17" ht="14.4" customHeight="1" x14ac:dyDescent="0.3">
      <c r="C89" s="2"/>
      <c r="K89" s="11" t="s">
        <v>13</v>
      </c>
      <c r="L89" s="11">
        <v>615165</v>
      </c>
      <c r="M89" s="11">
        <v>156608</v>
      </c>
      <c r="N89" s="11">
        <v>437870</v>
      </c>
      <c r="O89" s="11">
        <v>20687</v>
      </c>
      <c r="P89" s="11">
        <v>3270000</v>
      </c>
      <c r="Q89" s="11"/>
    </row>
    <row r="90" spans="2:17" ht="14.4" customHeight="1" x14ac:dyDescent="0.3">
      <c r="C90" s="2"/>
      <c r="K90" s="11" t="s">
        <v>9</v>
      </c>
      <c r="L90" s="11">
        <v>349654</v>
      </c>
      <c r="M90" s="11">
        <v>53860</v>
      </c>
      <c r="N90" s="11">
        <v>289787</v>
      </c>
      <c r="O90" s="11">
        <v>6007</v>
      </c>
      <c r="P90" s="11">
        <v>3850000</v>
      </c>
      <c r="Q90" s="11"/>
    </row>
    <row r="91" spans="2:17" ht="14.4" customHeight="1" x14ac:dyDescent="0.3">
      <c r="C91" s="2"/>
      <c r="K91" s="11" t="s">
        <v>10</v>
      </c>
      <c r="L91" s="11">
        <v>306261</v>
      </c>
      <c r="M91" s="11">
        <v>85130</v>
      </c>
      <c r="N91" s="11">
        <v>218311</v>
      </c>
      <c r="O91" s="11">
        <v>2820</v>
      </c>
      <c r="P91" s="11">
        <v>2960000</v>
      </c>
      <c r="Q91" s="11"/>
    </row>
    <row r="92" spans="2:17" ht="14.4" customHeight="1" x14ac:dyDescent="0.3">
      <c r="B92" s="4">
        <v>14</v>
      </c>
      <c r="C92" s="2"/>
      <c r="D92" s="116" t="s">
        <v>29</v>
      </c>
      <c r="E92" s="116"/>
      <c r="F92" s="116"/>
      <c r="G92" s="116"/>
      <c r="H92" s="116"/>
      <c r="I92" s="116"/>
    </row>
    <row r="93" spans="2:17" ht="14.4" customHeight="1" x14ac:dyDescent="0.3">
      <c r="C93" s="2"/>
      <c r="D93" s="116"/>
      <c r="E93" s="116"/>
      <c r="F93" s="116"/>
      <c r="G93" s="116"/>
      <c r="H93" s="116"/>
      <c r="I93" s="116"/>
      <c r="K93" s="119" t="s">
        <v>2</v>
      </c>
      <c r="L93" s="119"/>
      <c r="M93" s="119"/>
      <c r="N93" s="119"/>
      <c r="O93" s="119"/>
      <c r="P93" s="119"/>
      <c r="Q93" s="119"/>
    </row>
    <row r="94" spans="2:17" ht="14.4" customHeight="1" x14ac:dyDescent="0.3">
      <c r="C94" s="2"/>
    </row>
    <row r="95" spans="2:17" ht="43.2" customHeight="1" x14ac:dyDescent="0.3">
      <c r="C95" s="2"/>
      <c r="K95" s="13" t="s">
        <v>15</v>
      </c>
      <c r="L95" s="13" t="s">
        <v>5</v>
      </c>
      <c r="M95" s="13" t="s">
        <v>3</v>
      </c>
      <c r="N95" s="13" t="s">
        <v>6</v>
      </c>
      <c r="O95" s="13" t="s">
        <v>7</v>
      </c>
      <c r="P95" s="13" t="s">
        <v>8</v>
      </c>
      <c r="Q95" s="14" t="s">
        <v>27</v>
      </c>
    </row>
    <row r="96" spans="2:17" ht="14.4" customHeight="1" x14ac:dyDescent="0.3">
      <c r="C96" s="2"/>
      <c r="K96" s="11" t="s">
        <v>13</v>
      </c>
      <c r="L96" s="18">
        <v>615165</v>
      </c>
      <c r="M96" s="18">
        <v>156608</v>
      </c>
      <c r="N96" s="18">
        <v>437870</v>
      </c>
      <c r="O96" s="18">
        <v>20687</v>
      </c>
      <c r="P96" s="18">
        <v>3270000</v>
      </c>
      <c r="Q96" s="11"/>
    </row>
    <row r="97" spans="2:18" ht="14.4" customHeight="1" x14ac:dyDescent="0.3">
      <c r="C97" s="2"/>
      <c r="K97" s="11" t="s">
        <v>9</v>
      </c>
      <c r="L97" s="18">
        <v>349654</v>
      </c>
      <c r="M97" s="18">
        <v>53860</v>
      </c>
      <c r="N97" s="18">
        <v>289787</v>
      </c>
      <c r="O97" s="18">
        <v>6007</v>
      </c>
      <c r="P97" s="18">
        <v>3850000</v>
      </c>
      <c r="Q97" s="11"/>
    </row>
    <row r="98" spans="2:18" ht="14.4" customHeight="1" x14ac:dyDescent="0.3">
      <c r="C98" s="2"/>
      <c r="K98" s="11" t="s">
        <v>10</v>
      </c>
      <c r="L98" s="18">
        <v>306261</v>
      </c>
      <c r="M98" s="18">
        <v>85130</v>
      </c>
      <c r="N98" s="18">
        <v>218311</v>
      </c>
      <c r="O98" s="18">
        <v>2820</v>
      </c>
      <c r="P98" s="18">
        <v>2960000</v>
      </c>
      <c r="Q98" s="11"/>
    </row>
    <row r="99" spans="2:18" ht="14.4" customHeight="1" x14ac:dyDescent="0.3">
      <c r="B99" s="4">
        <v>15</v>
      </c>
      <c r="C99" s="2"/>
      <c r="D99" s="116" t="s">
        <v>30</v>
      </c>
      <c r="E99" s="116"/>
      <c r="F99" s="116"/>
      <c r="G99" s="116"/>
      <c r="H99" s="116"/>
      <c r="I99" s="116"/>
    </row>
    <row r="100" spans="2:18" ht="14.4" customHeight="1" x14ac:dyDescent="0.3">
      <c r="C100" s="2"/>
      <c r="D100" s="116"/>
      <c r="E100" s="116"/>
      <c r="F100" s="116"/>
      <c r="G100" s="116"/>
      <c r="H100" s="116"/>
      <c r="I100" s="116"/>
      <c r="K100" s="119" t="s">
        <v>2</v>
      </c>
      <c r="L100" s="119"/>
      <c r="M100" s="119"/>
      <c r="N100" s="119"/>
      <c r="O100" s="119"/>
      <c r="P100" s="119"/>
      <c r="Q100" s="119"/>
    </row>
    <row r="101" spans="2:18" ht="14.4" customHeight="1" x14ac:dyDescent="0.3">
      <c r="C101" s="2"/>
    </row>
    <row r="102" spans="2:18" ht="14.4" customHeight="1" x14ac:dyDescent="0.3">
      <c r="C102" s="2"/>
      <c r="E102" s="15"/>
      <c r="G102" s="16"/>
      <c r="K102" s="11" t="s">
        <v>15</v>
      </c>
      <c r="L102" s="11" t="s">
        <v>5</v>
      </c>
      <c r="M102" s="11" t="s">
        <v>3</v>
      </c>
      <c r="N102" s="11" t="s">
        <v>6</v>
      </c>
      <c r="O102" s="11" t="s">
        <v>7</v>
      </c>
      <c r="P102" s="11" t="s">
        <v>8</v>
      </c>
      <c r="Q102" s="106" t="s">
        <v>27</v>
      </c>
      <c r="R102" s="11" t="s">
        <v>31</v>
      </c>
    </row>
    <row r="103" spans="2:18" ht="14.4" customHeight="1" x14ac:dyDescent="0.3">
      <c r="C103" s="2"/>
      <c r="K103" s="11" t="s">
        <v>13</v>
      </c>
      <c r="L103" s="11">
        <v>615165</v>
      </c>
      <c r="M103" s="11">
        <v>156608</v>
      </c>
      <c r="N103" s="11">
        <v>437870</v>
      </c>
      <c r="O103" s="11">
        <v>20687</v>
      </c>
      <c r="P103" s="11">
        <v>3270000</v>
      </c>
      <c r="Q103" s="11"/>
      <c r="R103" s="105">
        <v>150000000</v>
      </c>
    </row>
    <row r="104" spans="2:18" ht="14.4" customHeight="1" x14ac:dyDescent="0.3">
      <c r="C104" s="2"/>
      <c r="I104" s="21"/>
      <c r="K104" s="11" t="s">
        <v>9</v>
      </c>
      <c r="L104" s="11">
        <v>349654</v>
      </c>
      <c r="M104" s="11">
        <v>53860</v>
      </c>
      <c r="N104" s="11">
        <v>289787</v>
      </c>
      <c r="O104" s="11">
        <v>6007</v>
      </c>
      <c r="P104" s="11">
        <v>3850000</v>
      </c>
      <c r="Q104" s="11"/>
      <c r="R104" s="105">
        <v>130000000</v>
      </c>
    </row>
    <row r="105" spans="2:18" ht="14.4" customHeight="1" x14ac:dyDescent="0.3">
      <c r="C105" s="2"/>
      <c r="K105" s="11" t="s">
        <v>10</v>
      </c>
      <c r="L105" s="11">
        <v>306261</v>
      </c>
      <c r="M105" s="11">
        <v>85130</v>
      </c>
      <c r="N105" s="11">
        <v>218311</v>
      </c>
      <c r="O105" s="11">
        <v>2820</v>
      </c>
      <c r="P105" s="11">
        <v>2960000</v>
      </c>
      <c r="Q105" s="11"/>
      <c r="R105" s="105">
        <v>90000000</v>
      </c>
    </row>
    <row r="106" spans="2:18" ht="14.4" customHeight="1" x14ac:dyDescent="0.3">
      <c r="C106" s="2"/>
    </row>
    <row r="107" spans="2:18" ht="14.4" customHeight="1" x14ac:dyDescent="0.3">
      <c r="C107" s="2"/>
    </row>
    <row r="108" spans="2:18" ht="14.4" customHeight="1" x14ac:dyDescent="0.3">
      <c r="C108" s="2"/>
    </row>
    <row r="109" spans="2:18" ht="14.4" customHeight="1" x14ac:dyDescent="0.3">
      <c r="C109" s="2"/>
    </row>
    <row r="110" spans="2:18" ht="14.4" customHeight="1" x14ac:dyDescent="0.3">
      <c r="B110" s="4">
        <v>16</v>
      </c>
      <c r="C110" s="2"/>
      <c r="D110" s="116" t="s">
        <v>32</v>
      </c>
      <c r="E110" s="116"/>
      <c r="F110" s="116"/>
      <c r="G110" s="116"/>
      <c r="H110" s="116"/>
      <c r="I110" s="116"/>
    </row>
    <row r="111" spans="2:18" ht="14.4" customHeight="1" x14ac:dyDescent="0.3">
      <c r="C111" s="2"/>
      <c r="D111" s="116"/>
      <c r="E111" s="116"/>
      <c r="F111" s="116"/>
      <c r="G111" s="116"/>
      <c r="H111" s="116"/>
      <c r="I111" s="116"/>
      <c r="K111" s="119" t="s">
        <v>2</v>
      </c>
      <c r="L111" s="119"/>
      <c r="M111" s="119"/>
      <c r="N111" s="119"/>
      <c r="O111" s="119"/>
      <c r="P111" s="119"/>
      <c r="Q111" s="119"/>
    </row>
    <row r="112" spans="2:18" ht="14.4" customHeight="1" x14ac:dyDescent="0.3">
      <c r="C112" s="2"/>
      <c r="D112" s="116"/>
      <c r="E112" s="116"/>
      <c r="F112" s="116"/>
      <c r="G112" s="116"/>
      <c r="H112" s="116"/>
      <c r="I112" s="116"/>
    </row>
    <row r="113" spans="2:17" ht="14.4" customHeight="1" x14ac:dyDescent="0.3">
      <c r="C113" s="2"/>
      <c r="K113" s="108" t="s">
        <v>15</v>
      </c>
      <c r="L113" t="s">
        <v>5</v>
      </c>
      <c r="M113" t="s">
        <v>3</v>
      </c>
      <c r="N113" t="s">
        <v>6</v>
      </c>
      <c r="O113" t="s">
        <v>7</v>
      </c>
      <c r="P113" t="s">
        <v>8</v>
      </c>
      <c r="Q113" t="s">
        <v>27</v>
      </c>
    </row>
    <row r="114" spans="2:17" ht="14.4" customHeight="1" x14ac:dyDescent="0.3">
      <c r="C114" s="2"/>
      <c r="K114" s="107" t="s">
        <v>13</v>
      </c>
      <c r="L114">
        <v>615165</v>
      </c>
      <c r="M114">
        <v>156608</v>
      </c>
      <c r="N114">
        <v>437870</v>
      </c>
      <c r="O114">
        <v>20687</v>
      </c>
      <c r="P114">
        <v>3270000</v>
      </c>
    </row>
    <row r="115" spans="2:17" ht="14.4" customHeight="1" x14ac:dyDescent="0.3">
      <c r="C115" s="2"/>
      <c r="K115" s="107" t="s">
        <v>9</v>
      </c>
      <c r="L115">
        <v>349654</v>
      </c>
      <c r="M115">
        <v>53860</v>
      </c>
      <c r="N115">
        <v>289787</v>
      </c>
      <c r="O115">
        <v>6007</v>
      </c>
      <c r="P115">
        <v>3850000</v>
      </c>
    </row>
    <row r="116" spans="2:17" ht="14.4" customHeight="1" x14ac:dyDescent="0.3">
      <c r="C116" s="2"/>
      <c r="K116" s="107" t="s">
        <v>10</v>
      </c>
      <c r="L116">
        <v>306261</v>
      </c>
      <c r="M116">
        <v>85130</v>
      </c>
      <c r="N116">
        <v>218311</v>
      </c>
      <c r="O116">
        <v>2820</v>
      </c>
      <c r="P116">
        <v>2960000</v>
      </c>
    </row>
    <row r="117" spans="2:17" ht="14.4" customHeight="1" x14ac:dyDescent="0.3">
      <c r="B117" s="4">
        <v>17</v>
      </c>
      <c r="C117" s="2"/>
      <c r="D117" s="116" t="s">
        <v>33</v>
      </c>
      <c r="E117" s="116"/>
      <c r="F117" s="116"/>
      <c r="G117" s="116"/>
      <c r="H117" s="116"/>
      <c r="I117" s="116"/>
    </row>
    <row r="118" spans="2:17" ht="14.4" customHeight="1" x14ac:dyDescent="0.3">
      <c r="C118" s="2"/>
      <c r="D118" s="116"/>
      <c r="E118" s="116"/>
      <c r="F118" s="116"/>
      <c r="G118" s="116"/>
      <c r="H118" s="116"/>
      <c r="I118" s="116"/>
      <c r="K118" s="119" t="s">
        <v>2</v>
      </c>
      <c r="L118" s="119"/>
      <c r="M118" s="119"/>
      <c r="N118" s="119"/>
      <c r="O118" s="119"/>
      <c r="P118" s="119"/>
      <c r="Q118" s="119"/>
    </row>
    <row r="119" spans="2:17" ht="14.4" customHeight="1" x14ac:dyDescent="0.3">
      <c r="C119" s="2"/>
      <c r="D119" s="116"/>
      <c r="E119" s="116"/>
      <c r="F119" s="116"/>
      <c r="G119" s="116"/>
      <c r="H119" s="116"/>
      <c r="I119" s="116"/>
    </row>
    <row r="120" spans="2:17" ht="14.4" customHeight="1" x14ac:dyDescent="0.3">
      <c r="C120" s="2"/>
      <c r="K120" s="114" t="s">
        <v>15</v>
      </c>
      <c r="L120" s="113" t="s">
        <v>5</v>
      </c>
      <c r="M120" s="109" t="s">
        <v>3</v>
      </c>
      <c r="N120" s="110" t="s">
        <v>6</v>
      </c>
      <c r="O120" s="111" t="s">
        <v>7</v>
      </c>
      <c r="P120" s="112" t="s">
        <v>8</v>
      </c>
      <c r="Q120" s="17" t="s">
        <v>27</v>
      </c>
    </row>
    <row r="121" spans="2:17" ht="14.4" customHeight="1" x14ac:dyDescent="0.3">
      <c r="C121" s="2"/>
      <c r="K121" s="20" t="s">
        <v>13</v>
      </c>
      <c r="L121" s="18">
        <v>615165</v>
      </c>
      <c r="M121" s="18">
        <v>156608</v>
      </c>
      <c r="N121" s="18">
        <v>437870</v>
      </c>
      <c r="O121" s="18">
        <v>20687</v>
      </c>
      <c r="P121" s="18">
        <v>3270000</v>
      </c>
      <c r="Q121" s="11"/>
    </row>
    <row r="122" spans="2:17" ht="14.4" customHeight="1" x14ac:dyDescent="0.3">
      <c r="C122" s="2"/>
      <c r="K122" s="20" t="s">
        <v>9</v>
      </c>
      <c r="L122" s="18">
        <v>349654</v>
      </c>
      <c r="M122" s="18">
        <v>53860</v>
      </c>
      <c r="N122" s="18">
        <v>289787</v>
      </c>
      <c r="O122" s="18">
        <v>6007</v>
      </c>
      <c r="P122" s="18">
        <v>3850000</v>
      </c>
      <c r="Q122" s="11"/>
    </row>
    <row r="123" spans="2:17" ht="14.4" customHeight="1" x14ac:dyDescent="0.3">
      <c r="C123" s="2"/>
      <c r="K123" s="20" t="s">
        <v>10</v>
      </c>
      <c r="L123" s="18">
        <v>306261</v>
      </c>
      <c r="M123" s="18">
        <v>85130</v>
      </c>
      <c r="N123" s="18">
        <v>218311</v>
      </c>
      <c r="O123" s="18">
        <v>2820</v>
      </c>
      <c r="P123" s="18">
        <v>2960000</v>
      </c>
      <c r="Q123" s="11"/>
    </row>
    <row r="124" spans="2:17" ht="14.4" customHeight="1" x14ac:dyDescent="0.3">
      <c r="B124" s="4">
        <v>18</v>
      </c>
      <c r="C124" s="2"/>
      <c r="D124" s="116" t="s">
        <v>34</v>
      </c>
      <c r="E124" s="116"/>
      <c r="F124" s="116"/>
      <c r="G124" s="116"/>
      <c r="H124" s="116"/>
      <c r="I124" s="116"/>
    </row>
    <row r="125" spans="2:17" ht="14.4" customHeight="1" x14ac:dyDescent="0.3">
      <c r="C125" s="2"/>
      <c r="D125" s="116"/>
      <c r="E125" s="116"/>
      <c r="F125" s="116"/>
      <c r="G125" s="116"/>
      <c r="H125" s="116"/>
      <c r="I125" s="116"/>
      <c r="K125" s="119" t="s">
        <v>2</v>
      </c>
      <c r="L125" s="119"/>
      <c r="M125" s="119"/>
      <c r="N125" s="119"/>
      <c r="O125" s="119"/>
      <c r="P125" s="119"/>
      <c r="Q125" s="119"/>
    </row>
    <row r="126" spans="2:17" ht="14.4" customHeight="1" x14ac:dyDescent="0.3">
      <c r="C126" s="2"/>
      <c r="D126" s="116"/>
      <c r="E126" s="116"/>
      <c r="F126" s="116"/>
      <c r="G126" s="116"/>
      <c r="H126" s="116"/>
      <c r="I126" s="116"/>
    </row>
    <row r="127" spans="2:17" ht="14.4" customHeight="1" x14ac:dyDescent="0.3">
      <c r="C127" s="2"/>
      <c r="K127" s="22" t="s">
        <v>15</v>
      </c>
      <c r="L127" s="23" t="s">
        <v>5</v>
      </c>
      <c r="M127" s="24" t="s">
        <v>3</v>
      </c>
      <c r="N127" s="25" t="s">
        <v>6</v>
      </c>
      <c r="O127" s="26" t="s">
        <v>7</v>
      </c>
      <c r="P127" s="19" t="s">
        <v>8</v>
      </c>
      <c r="Q127" s="17" t="s">
        <v>27</v>
      </c>
    </row>
    <row r="128" spans="2:17" ht="14.4" customHeight="1" x14ac:dyDescent="0.3">
      <c r="C128" s="2"/>
      <c r="K128" s="20" t="s">
        <v>13</v>
      </c>
      <c r="L128" s="18">
        <v>615165</v>
      </c>
      <c r="M128" s="18">
        <v>156608</v>
      </c>
      <c r="N128" s="18">
        <v>437870</v>
      </c>
      <c r="O128" s="18">
        <v>20687</v>
      </c>
      <c r="P128" s="18">
        <v>3270000</v>
      </c>
      <c r="Q128" s="11"/>
    </row>
    <row r="129" spans="2:17" ht="14.4" customHeight="1" x14ac:dyDescent="0.3">
      <c r="C129" s="2"/>
      <c r="K129" s="20" t="s">
        <v>9</v>
      </c>
      <c r="L129" s="18">
        <v>349654</v>
      </c>
      <c r="M129" s="18">
        <v>53860</v>
      </c>
      <c r="N129" s="18">
        <v>289787</v>
      </c>
      <c r="O129" s="18">
        <v>6007</v>
      </c>
      <c r="P129" s="18">
        <v>3850000</v>
      </c>
      <c r="Q129" s="11"/>
    </row>
    <row r="130" spans="2:17" ht="14.4" customHeight="1" x14ac:dyDescent="0.3">
      <c r="C130" s="2"/>
      <c r="K130" s="20" t="s">
        <v>10</v>
      </c>
      <c r="L130" s="18">
        <v>306261</v>
      </c>
      <c r="M130" s="18">
        <v>85130</v>
      </c>
      <c r="N130" s="18">
        <v>218311</v>
      </c>
      <c r="O130" s="18">
        <v>2820</v>
      </c>
      <c r="P130" s="18">
        <v>2960000</v>
      </c>
      <c r="Q130" s="11"/>
    </row>
    <row r="131" spans="2:17" ht="14.4" customHeight="1" x14ac:dyDescent="0.3">
      <c r="B131" s="4">
        <v>19</v>
      </c>
      <c r="C131" s="2"/>
      <c r="D131" s="116" t="s">
        <v>35</v>
      </c>
      <c r="E131" s="116"/>
      <c r="F131" s="116"/>
      <c r="G131" s="116"/>
      <c r="H131" s="116"/>
      <c r="I131" s="116"/>
    </row>
    <row r="132" spans="2:17" ht="14.4" customHeight="1" x14ac:dyDescent="0.3">
      <c r="C132" s="2"/>
      <c r="D132" s="116"/>
      <c r="E132" s="116"/>
      <c r="F132" s="116"/>
      <c r="G132" s="116"/>
      <c r="H132" s="116"/>
      <c r="I132" s="116"/>
      <c r="K132" s="119" t="s">
        <v>2</v>
      </c>
      <c r="L132" s="119"/>
      <c r="M132" s="119"/>
      <c r="N132" s="119"/>
      <c r="O132" s="119"/>
      <c r="P132" s="119"/>
      <c r="Q132" s="119"/>
    </row>
    <row r="133" spans="2:17" ht="14.4" customHeight="1" x14ac:dyDescent="0.3">
      <c r="C133" s="2"/>
      <c r="D133" s="116"/>
      <c r="E133" s="116"/>
      <c r="F133" s="116"/>
      <c r="G133" s="116"/>
      <c r="H133" s="116"/>
      <c r="I133" s="116"/>
    </row>
    <row r="134" spans="2:17" ht="14.4" customHeight="1" x14ac:dyDescent="0.3">
      <c r="C134" s="2"/>
      <c r="D134" s="116"/>
      <c r="E134" s="116"/>
      <c r="F134" s="116"/>
      <c r="G134" s="116"/>
      <c r="H134" s="116"/>
      <c r="I134" s="116"/>
      <c r="K134" s="22" t="s">
        <v>15</v>
      </c>
      <c r="L134" s="23" t="s">
        <v>5</v>
      </c>
      <c r="M134" s="24" t="s">
        <v>3</v>
      </c>
      <c r="N134" s="25" t="s">
        <v>6</v>
      </c>
      <c r="O134" s="26" t="s">
        <v>7</v>
      </c>
      <c r="P134" s="19" t="s">
        <v>8</v>
      </c>
      <c r="Q134" s="17" t="s">
        <v>27</v>
      </c>
    </row>
    <row r="135" spans="2:17" ht="14.4" customHeight="1" x14ac:dyDescent="0.3">
      <c r="C135" s="2"/>
      <c r="D135" s="116"/>
      <c r="E135" s="116"/>
      <c r="F135" s="116"/>
      <c r="G135" s="116"/>
      <c r="H135" s="116"/>
      <c r="I135" s="116"/>
      <c r="K135" s="20" t="s">
        <v>13</v>
      </c>
      <c r="L135" s="18">
        <v>615165</v>
      </c>
      <c r="M135" s="18">
        <v>156608</v>
      </c>
      <c r="N135" s="18">
        <v>437870</v>
      </c>
      <c r="O135" s="18">
        <v>20687</v>
      </c>
      <c r="P135" s="18">
        <v>3270000</v>
      </c>
      <c r="Q135" s="11"/>
    </row>
    <row r="136" spans="2:17" ht="14.4" customHeight="1" x14ac:dyDescent="0.3">
      <c r="C136" s="2"/>
      <c r="D136" s="116"/>
      <c r="E136" s="116"/>
      <c r="F136" s="116"/>
      <c r="G136" s="116"/>
      <c r="H136" s="116"/>
      <c r="I136" s="116"/>
      <c r="K136" s="20" t="s">
        <v>9</v>
      </c>
      <c r="L136" s="18">
        <v>349654</v>
      </c>
      <c r="M136" s="18">
        <v>53860</v>
      </c>
      <c r="N136" s="18">
        <v>289787</v>
      </c>
      <c r="O136" s="18">
        <v>6007</v>
      </c>
      <c r="P136" s="18">
        <v>3850000</v>
      </c>
      <c r="Q136" s="11"/>
    </row>
    <row r="137" spans="2:17" ht="14.4" customHeight="1" x14ac:dyDescent="0.3">
      <c r="C137" s="2"/>
      <c r="D137" s="116"/>
      <c r="E137" s="116"/>
      <c r="F137" s="116"/>
      <c r="G137" s="116"/>
      <c r="H137" s="116"/>
      <c r="I137" s="116"/>
      <c r="K137" s="20" t="s">
        <v>10</v>
      </c>
      <c r="L137" s="18">
        <v>306261</v>
      </c>
      <c r="M137" s="18">
        <v>85130</v>
      </c>
      <c r="N137" s="18">
        <v>218311</v>
      </c>
      <c r="O137" s="18">
        <v>2820</v>
      </c>
      <c r="P137" s="18">
        <v>2960000</v>
      </c>
      <c r="Q137" s="11"/>
    </row>
    <row r="138" spans="2:17" ht="14.4" customHeight="1" x14ac:dyDescent="0.3">
      <c r="C138" s="2"/>
    </row>
    <row r="139" spans="2:17" ht="14.4" customHeight="1" x14ac:dyDescent="0.3">
      <c r="B139" s="4">
        <v>20</v>
      </c>
      <c r="C139" s="2"/>
      <c r="D139" s="116" t="s">
        <v>36</v>
      </c>
      <c r="E139" s="116"/>
      <c r="F139" s="116"/>
      <c r="G139" s="116"/>
      <c r="H139" s="116"/>
      <c r="I139" s="116"/>
    </row>
    <row r="140" spans="2:17" ht="14.4" customHeight="1" x14ac:dyDescent="0.3">
      <c r="C140" s="2"/>
      <c r="D140" s="116"/>
      <c r="E140" s="116"/>
      <c r="F140" s="116"/>
      <c r="G140" s="116"/>
      <c r="H140" s="116"/>
      <c r="I140" s="116"/>
      <c r="J140" s="10"/>
    </row>
    <row r="141" spans="2:17" ht="14.4" customHeight="1" x14ac:dyDescent="0.3">
      <c r="C141" s="2"/>
    </row>
    <row r="142" spans="2:17" ht="14.4" customHeight="1" x14ac:dyDescent="0.3">
      <c r="B142" s="4">
        <v>21</v>
      </c>
      <c r="C142" s="2"/>
      <c r="D142" s="116" t="s">
        <v>37</v>
      </c>
      <c r="E142" s="116"/>
      <c r="F142" s="116"/>
      <c r="G142" s="116"/>
      <c r="H142" s="116"/>
      <c r="I142" s="116"/>
    </row>
    <row r="143" spans="2:17" ht="14.4" customHeight="1" x14ac:dyDescent="0.3">
      <c r="C143" s="2"/>
      <c r="D143" s="116"/>
      <c r="E143" s="116"/>
      <c r="F143" s="116"/>
      <c r="G143" s="116"/>
      <c r="H143" s="116"/>
      <c r="I143" s="116"/>
      <c r="K143" s="119" t="s">
        <v>2</v>
      </c>
      <c r="L143" s="119"/>
      <c r="M143" s="119"/>
      <c r="N143" s="119"/>
      <c r="O143" s="119"/>
      <c r="P143" s="119"/>
      <c r="Q143" s="119"/>
    </row>
    <row r="144" spans="2:17" ht="34.200000000000003" customHeight="1" x14ac:dyDescent="0.3">
      <c r="C144" s="2"/>
    </row>
    <row r="145" spans="2:17" ht="43.2" customHeight="1" x14ac:dyDescent="0.3">
      <c r="C145" s="2"/>
      <c r="K145" s="22" t="s">
        <v>15</v>
      </c>
      <c r="L145" s="23" t="s">
        <v>5</v>
      </c>
      <c r="M145" s="24" t="s">
        <v>3</v>
      </c>
      <c r="N145" s="25" t="s">
        <v>6</v>
      </c>
      <c r="O145" s="26" t="s">
        <v>7</v>
      </c>
      <c r="P145" s="19" t="s">
        <v>8</v>
      </c>
      <c r="Q145" s="17" t="s">
        <v>27</v>
      </c>
    </row>
    <row r="146" spans="2:17" ht="14.4" customHeight="1" x14ac:dyDescent="0.3">
      <c r="C146" s="2"/>
      <c r="K146" s="20" t="s">
        <v>13</v>
      </c>
      <c r="L146" s="18">
        <v>615165</v>
      </c>
      <c r="M146" s="18">
        <v>156608</v>
      </c>
      <c r="N146" s="18">
        <v>437870</v>
      </c>
      <c r="O146" s="18">
        <v>20687</v>
      </c>
      <c r="P146" s="18">
        <v>3270000</v>
      </c>
      <c r="Q146" s="11"/>
    </row>
    <row r="147" spans="2:17" ht="14.4" customHeight="1" x14ac:dyDescent="0.3">
      <c r="C147" s="2"/>
      <c r="K147" s="20" t="s">
        <v>9</v>
      </c>
      <c r="L147" s="18">
        <v>349654</v>
      </c>
      <c r="M147" s="18">
        <v>53860</v>
      </c>
      <c r="N147" s="18">
        <v>289787</v>
      </c>
      <c r="O147" s="18">
        <v>6007</v>
      </c>
      <c r="P147" s="18">
        <v>3850000</v>
      </c>
      <c r="Q147" s="11"/>
    </row>
    <row r="148" spans="2:17" ht="14.4" customHeight="1" x14ac:dyDescent="0.3">
      <c r="C148" s="2"/>
      <c r="K148" s="20" t="s">
        <v>10</v>
      </c>
      <c r="L148" s="18">
        <v>306261</v>
      </c>
      <c r="M148" s="18">
        <v>85130</v>
      </c>
      <c r="N148" s="18">
        <v>218311</v>
      </c>
      <c r="O148" s="18">
        <v>2820</v>
      </c>
      <c r="P148" s="18">
        <v>2960000</v>
      </c>
      <c r="Q148" s="11"/>
    </row>
    <row r="149" spans="2:17" ht="14.4" customHeight="1" x14ac:dyDescent="0.3">
      <c r="B149" s="4">
        <v>22</v>
      </c>
      <c r="C149" s="2"/>
      <c r="D149" s="115" t="s">
        <v>38</v>
      </c>
      <c r="E149" s="115"/>
      <c r="F149" s="115"/>
      <c r="G149" s="115"/>
      <c r="H149" s="115"/>
      <c r="I149" s="115"/>
      <c r="K149" s="20"/>
      <c r="L149" s="18"/>
      <c r="M149" s="18"/>
      <c r="N149" s="18"/>
      <c r="O149" s="18"/>
      <c r="P149" s="18"/>
      <c r="Q149" s="11"/>
    </row>
    <row r="150" spans="2:17" ht="14.4" customHeight="1" x14ac:dyDescent="0.3">
      <c r="C150" s="2"/>
      <c r="D150" s="115"/>
      <c r="E150" s="115"/>
      <c r="F150" s="115"/>
      <c r="G150" s="115"/>
      <c r="H150" s="115"/>
      <c r="I150" s="115"/>
      <c r="K150" s="119" t="s">
        <v>39</v>
      </c>
      <c r="L150" s="119"/>
      <c r="M150" s="119"/>
      <c r="N150" s="119"/>
      <c r="O150" s="119"/>
      <c r="P150" s="119"/>
      <c r="Q150" s="119"/>
    </row>
    <row r="151" spans="2:17" ht="14.4" customHeight="1" x14ac:dyDescent="0.3">
      <c r="C151" s="2"/>
      <c r="D151" s="115"/>
      <c r="E151" s="115"/>
      <c r="F151" s="115"/>
      <c r="G151" s="115"/>
      <c r="H151" s="115"/>
      <c r="I151" s="115"/>
    </row>
    <row r="152" spans="2:17" ht="14.4" customHeight="1" x14ac:dyDescent="0.3">
      <c r="C152" s="2"/>
      <c r="D152" s="115"/>
      <c r="E152" s="115"/>
      <c r="F152" s="115"/>
      <c r="G152" s="115"/>
      <c r="H152" s="115"/>
      <c r="I152" s="115"/>
      <c r="K152" s="22" t="s">
        <v>15</v>
      </c>
      <c r="L152" s="22" t="s">
        <v>18</v>
      </c>
    </row>
    <row r="153" spans="2:17" ht="14.4" customHeight="1" x14ac:dyDescent="0.3">
      <c r="C153" s="2"/>
      <c r="K153" s="20" t="s">
        <v>13</v>
      </c>
      <c r="L153" s="20" t="s">
        <v>276</v>
      </c>
    </row>
    <row r="154" spans="2:17" ht="14.4" customHeight="1" x14ac:dyDescent="0.3">
      <c r="C154" s="2"/>
      <c r="K154" s="20" t="s">
        <v>9</v>
      </c>
      <c r="L154" s="20" t="s">
        <v>20</v>
      </c>
    </row>
    <row r="155" spans="2:17" ht="14.4" customHeight="1" x14ac:dyDescent="0.3">
      <c r="C155" s="2"/>
      <c r="K155" s="20" t="s">
        <v>10</v>
      </c>
      <c r="L155" s="20" t="s">
        <v>20</v>
      </c>
    </row>
    <row r="156" spans="2:17" ht="14.4" customHeight="1" x14ac:dyDescent="0.3">
      <c r="C156" s="2"/>
      <c r="K156" s="20" t="s">
        <v>40</v>
      </c>
      <c r="L156" s="20" t="s">
        <v>276</v>
      </c>
    </row>
    <row r="157" spans="2:17" ht="14.4" customHeight="1" x14ac:dyDescent="0.3">
      <c r="C157" s="2"/>
      <c r="K157" s="20" t="s">
        <v>11</v>
      </c>
      <c r="L157" s="20" t="s">
        <v>20</v>
      </c>
    </row>
    <row r="158" spans="2:17" ht="14.4" customHeight="1" x14ac:dyDescent="0.3">
      <c r="B158" s="4">
        <v>23</v>
      </c>
      <c r="C158" s="2"/>
      <c r="D158" s="115" t="s">
        <v>41</v>
      </c>
      <c r="E158" s="115"/>
      <c r="F158" s="115"/>
      <c r="G158" s="115"/>
      <c r="H158" s="115"/>
      <c r="I158" s="115"/>
    </row>
    <row r="159" spans="2:17" ht="14.4" customHeight="1" x14ac:dyDescent="0.3">
      <c r="C159" s="2"/>
      <c r="D159" s="115"/>
      <c r="E159" s="115"/>
      <c r="F159" s="115"/>
      <c r="G159" s="115"/>
      <c r="H159" s="115"/>
      <c r="I159" s="115"/>
      <c r="J159" s="10"/>
    </row>
    <row r="160" spans="2:17" ht="14.4" customHeight="1" x14ac:dyDescent="0.3"/>
    <row r="161" spans="2:11" x14ac:dyDescent="0.3">
      <c r="B161" s="4">
        <v>24</v>
      </c>
      <c r="C161" s="2"/>
      <c r="D161" s="115" t="s">
        <v>42</v>
      </c>
      <c r="E161" s="115"/>
      <c r="F161" s="115"/>
      <c r="G161" s="115"/>
      <c r="H161" s="115"/>
      <c r="I161" s="115"/>
    </row>
    <row r="162" spans="2:11" ht="14.4" customHeight="1" x14ac:dyDescent="0.3">
      <c r="C162" s="2"/>
      <c r="D162" s="115"/>
      <c r="E162" s="115"/>
      <c r="F162" s="115"/>
      <c r="G162" s="115"/>
      <c r="H162" s="115"/>
      <c r="I162" s="115"/>
      <c r="J162" s="10"/>
      <c r="K162" t="s">
        <v>280</v>
      </c>
    </row>
    <row r="163" spans="2:11" ht="14.4" customHeight="1" x14ac:dyDescent="0.3"/>
  </sheetData>
  <sheetProtection algorithmName="SHA-512" hashValue="q8h04ztyC1wj1HuY2uy54ShYR89NyntdVd/zIZyWA8vHQh5aY3A6ygINKiew2Snxrz8NBmJTe14tiZfEr1JC1g==" saltValue="SjdOVwT1Xcr7T0otCW5t1Q==" spinCount="100000" sheet="1" objects="1" scenarios="1"/>
  <sortState xmlns:xlrd2="http://schemas.microsoft.com/office/spreadsheetml/2017/richdata2" ref="K26:P28">
    <sortCondition ref="L26:L28"/>
  </sortState>
  <mergeCells count="41">
    <mergeCell ref="K143:Q143"/>
    <mergeCell ref="K150:Q150"/>
    <mergeCell ref="K125:Q125"/>
    <mergeCell ref="K132:Q132"/>
    <mergeCell ref="K100:Q100"/>
    <mergeCell ref="K111:Q111"/>
    <mergeCell ref="K118:Q118"/>
    <mergeCell ref="K79:L79"/>
    <mergeCell ref="K93:Q93"/>
    <mergeCell ref="K86:Q86"/>
    <mergeCell ref="K64:L64"/>
    <mergeCell ref="K71:L71"/>
    <mergeCell ref="K40:L40"/>
    <mergeCell ref="K47:L47"/>
    <mergeCell ref="K30:L30"/>
    <mergeCell ref="K5:L5"/>
    <mergeCell ref="K13:L13"/>
    <mergeCell ref="K23:L23"/>
    <mergeCell ref="D3:I4"/>
    <mergeCell ref="D12:I13"/>
    <mergeCell ref="D22:I23"/>
    <mergeCell ref="D29:I30"/>
    <mergeCell ref="D39:I40"/>
    <mergeCell ref="D46:I50"/>
    <mergeCell ref="D53:I54"/>
    <mergeCell ref="D57:I57"/>
    <mergeCell ref="D63:I63"/>
    <mergeCell ref="D70:I70"/>
    <mergeCell ref="D78:I78"/>
    <mergeCell ref="D85:I86"/>
    <mergeCell ref="D92:I93"/>
    <mergeCell ref="D99:I100"/>
    <mergeCell ref="D110:I112"/>
    <mergeCell ref="D149:I152"/>
    <mergeCell ref="D158:I159"/>
    <mergeCell ref="D161:I162"/>
    <mergeCell ref="D117:I119"/>
    <mergeCell ref="D124:I126"/>
    <mergeCell ref="D131:I137"/>
    <mergeCell ref="D139:I140"/>
    <mergeCell ref="D142:I143"/>
  </mergeCells>
  <dataValidations count="1">
    <dataValidation type="list" allowBlank="1" showInputMessage="1" showErrorMessage="1" sqref="W27:W28 L153 L154:L157 Q43:Q45" xr:uid="{09633465-5EBA-4299-9949-DE40E21DAF07}">
      <formula1>"UT,State"</formula1>
    </dataValidation>
  </dataValidation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C4D0-9585-41C1-9A8B-545A64B6EB93}">
  <dimension ref="B2:R32"/>
  <sheetViews>
    <sheetView showGridLines="0" tabSelected="1" workbookViewId="0">
      <selection activeCell="R27" sqref="R27"/>
    </sheetView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1.33203125" customWidth="1"/>
    <col min="5" max="5" width="9.33203125" customWidth="1"/>
    <col min="6" max="6" width="12" bestFit="1" customWidth="1"/>
    <col min="7" max="9" width="12" customWidth="1"/>
    <col min="10" max="10" width="10" bestFit="1" customWidth="1"/>
    <col min="11" max="11" width="15.109375" bestFit="1" customWidth="1"/>
    <col min="13" max="13" width="9.88671875" bestFit="1" customWidth="1"/>
    <col min="17" max="17" width="18.88671875" customWidth="1"/>
    <col min="18" max="18" width="10.88671875" customWidth="1"/>
  </cols>
  <sheetData>
    <row r="2" spans="2:17" ht="18" x14ac:dyDescent="0.35">
      <c r="B2" s="1" t="s">
        <v>43</v>
      </c>
      <c r="E2" s="3"/>
    </row>
    <row r="4" spans="2:17" x14ac:dyDescent="0.3">
      <c r="B4" s="4">
        <v>1</v>
      </c>
      <c r="D4" s="116" t="s">
        <v>44</v>
      </c>
      <c r="E4" s="116"/>
      <c r="F4" s="116"/>
      <c r="G4" s="116"/>
      <c r="H4" s="116"/>
      <c r="I4" s="116"/>
      <c r="K4" s="119" t="s">
        <v>2</v>
      </c>
      <c r="L4" s="119"/>
      <c r="M4" s="119"/>
      <c r="N4" s="119"/>
      <c r="O4" s="119"/>
      <c r="P4" s="119"/>
      <c r="Q4" s="119"/>
    </row>
    <row r="5" spans="2:17" x14ac:dyDescent="0.3">
      <c r="D5" s="116"/>
      <c r="E5" s="116"/>
      <c r="F5" s="116"/>
      <c r="G5" s="116"/>
      <c r="H5" s="116"/>
      <c r="I5" s="116"/>
    </row>
    <row r="6" spans="2:17" x14ac:dyDescent="0.3">
      <c r="K6" s="22" t="s">
        <v>15</v>
      </c>
      <c r="L6" s="23" t="s">
        <v>5</v>
      </c>
      <c r="M6" s="24" t="s">
        <v>3</v>
      </c>
      <c r="N6" s="25" t="s">
        <v>6</v>
      </c>
      <c r="O6" s="26" t="s">
        <v>7</v>
      </c>
      <c r="P6" s="19" t="s">
        <v>8</v>
      </c>
      <c r="Q6" s="17" t="s">
        <v>27</v>
      </c>
    </row>
    <row r="7" spans="2:17" x14ac:dyDescent="0.3">
      <c r="K7" s="20" t="s">
        <v>13</v>
      </c>
      <c r="L7" s="18">
        <f>SUM(Table2467891011212[[#This Row],[Active]:[Deceased]])</f>
        <v>615165</v>
      </c>
      <c r="M7" s="18">
        <v>156608</v>
      </c>
      <c r="N7" s="18">
        <v>437870</v>
      </c>
      <c r="O7" s="18">
        <v>20687</v>
      </c>
      <c r="P7" s="18">
        <v>3270000</v>
      </c>
      <c r="Q7" s="11">
        <f>SUM(Table2467891011212[[#This Row],[Tested]],Table2467891011212[[#This Row],[Deceased]],Table2467891011212[[#This Row],[Recovered]],Table2467891011212[[#This Row],[Active]])</f>
        <v>3885165</v>
      </c>
    </row>
    <row r="8" spans="2:17" x14ac:dyDescent="0.3">
      <c r="K8" s="20" t="s">
        <v>9</v>
      </c>
      <c r="L8" s="18">
        <f>SUM(Table2467891011212[[#This Row],[Active]:[Deceased]])</f>
        <v>349654</v>
      </c>
      <c r="M8" s="18">
        <v>53860</v>
      </c>
      <c r="N8" s="18">
        <v>289787</v>
      </c>
      <c r="O8" s="18">
        <v>6007</v>
      </c>
      <c r="P8" s="18">
        <v>3850000</v>
      </c>
      <c r="Q8" s="11">
        <f>SUM(Table2467891011212[[#This Row],[Tested]],Table2467891011212[[#This Row],[Deceased]],Table2467891011212[[#This Row],[Recovered]],Table2467891011212[[#This Row],[Active]])</f>
        <v>4199654</v>
      </c>
    </row>
    <row r="9" spans="2:17" x14ac:dyDescent="0.3">
      <c r="K9" s="20" t="s">
        <v>10</v>
      </c>
      <c r="L9" s="18">
        <f>SUM(Table2467891011212[[#This Row],[Active]:[Deceased]])</f>
        <v>306261</v>
      </c>
      <c r="M9" s="18">
        <v>85130</v>
      </c>
      <c r="N9" s="18">
        <v>218311</v>
      </c>
      <c r="O9" s="18">
        <v>2820</v>
      </c>
      <c r="P9" s="18">
        <v>2960000</v>
      </c>
      <c r="Q9" s="11">
        <f>SUM(Table2467891011212[[#This Row],[Tested]],Table2467891011212[[#This Row],[Deceased]],Table2467891011212[[#This Row],[Recovered]],Table2467891011212[[#This Row],[Active]])</f>
        <v>3266261</v>
      </c>
    </row>
    <row r="11" spans="2:17" x14ac:dyDescent="0.3">
      <c r="B11" s="4">
        <v>2</v>
      </c>
      <c r="D11" s="116" t="s">
        <v>45</v>
      </c>
      <c r="E11" s="116"/>
      <c r="F11" s="116"/>
      <c r="G11" s="116"/>
      <c r="H11" s="116"/>
      <c r="I11" s="116"/>
      <c r="K11" s="119" t="s">
        <v>46</v>
      </c>
      <c r="L11" s="119"/>
      <c r="M11" s="119"/>
    </row>
    <row r="12" spans="2:17" x14ac:dyDescent="0.3">
      <c r="D12" s="116"/>
      <c r="E12" s="116"/>
      <c r="F12" s="116"/>
      <c r="G12" s="116"/>
      <c r="H12" s="116"/>
      <c r="I12" s="116"/>
    </row>
    <row r="13" spans="2:17" x14ac:dyDescent="0.3">
      <c r="K13" s="27" t="s">
        <v>15</v>
      </c>
      <c r="L13" s="28" t="s">
        <v>47</v>
      </c>
      <c r="M13" s="29" t="s">
        <v>48</v>
      </c>
    </row>
    <row r="14" spans="2:17" x14ac:dyDescent="0.3">
      <c r="D14" s="30" t="s">
        <v>47</v>
      </c>
      <c r="E14" s="31" t="s">
        <v>48</v>
      </c>
      <c r="K14" s="32" t="s">
        <v>13</v>
      </c>
      <c r="L14">
        <v>34</v>
      </c>
      <c r="M14" s="33">
        <f>IF(L14&gt;100,-2,IF(L14&gt;=60,-1,IF(L14&gt;=25,0,IF(L14&gt;=20,1,IF(L14&gt;=15,2,IF(L14&gt;=10,3,IF(L14&lt;10,4)))))))</f>
        <v>0</v>
      </c>
    </row>
    <row r="15" spans="2:17" x14ac:dyDescent="0.3">
      <c r="D15" s="34" t="s">
        <v>49</v>
      </c>
      <c r="E15" s="35">
        <v>-2</v>
      </c>
      <c r="K15" s="32" t="s">
        <v>9</v>
      </c>
      <c r="L15">
        <v>15</v>
      </c>
      <c r="M15" s="33">
        <f t="shared" ref="M15:M18" si="0">IF(L15&gt;100,-2,IF(L15&gt;=60,-1,IF(L15&gt;=25,0,IF(L15&gt;=20,1,IF(L15&gt;=15,2,IF(L15&gt;=10,3,IF(L15&lt;10,4)))))))</f>
        <v>2</v>
      </c>
    </row>
    <row r="16" spans="2:17" x14ac:dyDescent="0.3">
      <c r="D16" s="34" t="s">
        <v>50</v>
      </c>
      <c r="E16" s="35">
        <v>-1</v>
      </c>
      <c r="K16" s="32" t="s">
        <v>11</v>
      </c>
      <c r="L16">
        <v>12</v>
      </c>
      <c r="M16" s="33">
        <f t="shared" si="0"/>
        <v>3</v>
      </c>
    </row>
    <row r="17" spans="2:18" x14ac:dyDescent="0.3">
      <c r="D17" s="34" t="s">
        <v>51</v>
      </c>
      <c r="E17" s="35">
        <v>0</v>
      </c>
      <c r="K17" s="32" t="s">
        <v>52</v>
      </c>
      <c r="L17">
        <v>9</v>
      </c>
      <c r="M17" s="33">
        <f t="shared" si="0"/>
        <v>4</v>
      </c>
    </row>
    <row r="18" spans="2:18" x14ac:dyDescent="0.3">
      <c r="D18" s="34" t="s">
        <v>53</v>
      </c>
      <c r="E18" s="35">
        <v>1</v>
      </c>
      <c r="K18" s="36" t="s">
        <v>10</v>
      </c>
      <c r="L18" s="37">
        <v>26</v>
      </c>
      <c r="M18" s="33">
        <f t="shared" si="0"/>
        <v>0</v>
      </c>
    </row>
    <row r="19" spans="2:18" x14ac:dyDescent="0.3">
      <c r="D19" s="34" t="s">
        <v>54</v>
      </c>
      <c r="E19" s="35">
        <v>2</v>
      </c>
    </row>
    <row r="20" spans="2:18" x14ac:dyDescent="0.3">
      <c r="D20" s="39" t="s">
        <v>55</v>
      </c>
      <c r="E20" s="35">
        <v>3</v>
      </c>
    </row>
    <row r="21" spans="2:18" x14ac:dyDescent="0.3">
      <c r="D21" s="40" t="s">
        <v>56</v>
      </c>
      <c r="E21" s="41">
        <v>4</v>
      </c>
    </row>
    <row r="23" spans="2:18" ht="15" customHeight="1" x14ac:dyDescent="0.3">
      <c r="B23" s="4">
        <v>3</v>
      </c>
      <c r="D23" s="116" t="s">
        <v>57</v>
      </c>
      <c r="E23" s="116"/>
      <c r="F23" s="116"/>
      <c r="G23" s="116"/>
      <c r="H23" s="116"/>
      <c r="I23" s="116"/>
      <c r="K23" s="119" t="s">
        <v>58</v>
      </c>
      <c r="L23" s="119"/>
      <c r="M23" s="119"/>
      <c r="N23" s="119"/>
      <c r="O23" s="119"/>
      <c r="P23" s="119"/>
      <c r="Q23" s="119"/>
      <c r="R23" s="119"/>
    </row>
    <row r="24" spans="2:18" x14ac:dyDescent="0.3">
      <c r="D24" s="116"/>
      <c r="E24" s="116"/>
      <c r="F24" s="116"/>
      <c r="G24" s="116"/>
      <c r="H24" s="116"/>
      <c r="I24" s="116"/>
    </row>
    <row r="25" spans="2:18" x14ac:dyDescent="0.3">
      <c r="D25" s="116"/>
      <c r="E25" s="116"/>
      <c r="F25" s="116"/>
      <c r="G25" s="116"/>
      <c r="H25" s="116"/>
      <c r="I25" s="116"/>
      <c r="K25" s="27" t="s">
        <v>59</v>
      </c>
      <c r="L25" s="28" t="s">
        <v>60</v>
      </c>
      <c r="M25" s="28" t="s">
        <v>61</v>
      </c>
      <c r="N25" s="28"/>
      <c r="O25" s="28" t="s">
        <v>62</v>
      </c>
      <c r="P25" s="28" t="s">
        <v>63</v>
      </c>
      <c r="Q25" s="28" t="s">
        <v>64</v>
      </c>
      <c r="R25" s="29" t="s">
        <v>65</v>
      </c>
    </row>
    <row r="26" spans="2:18" x14ac:dyDescent="0.3">
      <c r="K26" s="32" t="s">
        <v>66</v>
      </c>
      <c r="L26">
        <v>75</v>
      </c>
      <c r="M26">
        <v>0</v>
      </c>
      <c r="O26" t="s">
        <v>67</v>
      </c>
      <c r="P26" t="s">
        <v>68</v>
      </c>
      <c r="Q26" t="s">
        <v>69</v>
      </c>
      <c r="R26" s="33" t="str">
        <f>IF(OR(Q26="Rain",Q26="Snow"),"Wet","Dry")</f>
        <v>Dry</v>
      </c>
    </row>
    <row r="27" spans="2:18" x14ac:dyDescent="0.3">
      <c r="D27" t="s">
        <v>70</v>
      </c>
      <c r="K27" s="32" t="s">
        <v>13</v>
      </c>
      <c r="L27">
        <v>18</v>
      </c>
      <c r="M27">
        <v>0</v>
      </c>
      <c r="O27" t="s">
        <v>71</v>
      </c>
      <c r="P27" t="s">
        <v>72</v>
      </c>
      <c r="Q27" t="s">
        <v>69</v>
      </c>
      <c r="R27" s="33" t="str">
        <f t="shared" ref="R27:R32" si="1">IF(OR(Q27="Rain",Q27="Snow"),"Wet","Dry")</f>
        <v>Dry</v>
      </c>
    </row>
    <row r="28" spans="2:18" x14ac:dyDescent="0.3">
      <c r="K28" s="32" t="s">
        <v>73</v>
      </c>
      <c r="L28">
        <v>86</v>
      </c>
      <c r="M28">
        <v>0</v>
      </c>
      <c r="O28" t="s">
        <v>67</v>
      </c>
      <c r="P28" t="s">
        <v>74</v>
      </c>
      <c r="Q28" t="s">
        <v>69</v>
      </c>
      <c r="R28" s="33" t="str">
        <f t="shared" si="1"/>
        <v>Dry</v>
      </c>
    </row>
    <row r="29" spans="2:18" x14ac:dyDescent="0.3">
      <c r="K29" s="32" t="s">
        <v>75</v>
      </c>
      <c r="L29">
        <v>80</v>
      </c>
      <c r="M29">
        <v>2.2999999999999998</v>
      </c>
      <c r="O29" t="s">
        <v>67</v>
      </c>
      <c r="P29" t="s">
        <v>68</v>
      </c>
      <c r="Q29" t="s">
        <v>76</v>
      </c>
      <c r="R29" s="33" t="str">
        <f t="shared" si="1"/>
        <v>Wet</v>
      </c>
    </row>
    <row r="30" spans="2:18" x14ac:dyDescent="0.3">
      <c r="K30" s="32" t="s">
        <v>77</v>
      </c>
      <c r="L30">
        <v>28</v>
      </c>
      <c r="M30">
        <v>1.2</v>
      </c>
      <c r="O30" t="s">
        <v>71</v>
      </c>
      <c r="P30" t="s">
        <v>72</v>
      </c>
      <c r="Q30" t="s">
        <v>78</v>
      </c>
      <c r="R30" s="33" t="str">
        <f t="shared" si="1"/>
        <v>Wet</v>
      </c>
    </row>
    <row r="31" spans="2:18" x14ac:dyDescent="0.3">
      <c r="K31" s="32" t="s">
        <v>79</v>
      </c>
      <c r="L31">
        <v>68</v>
      </c>
      <c r="M31">
        <v>0.5</v>
      </c>
      <c r="O31" t="s">
        <v>67</v>
      </c>
      <c r="P31" t="s">
        <v>68</v>
      </c>
      <c r="Q31" t="s">
        <v>76</v>
      </c>
      <c r="R31" s="33" t="str">
        <f t="shared" si="1"/>
        <v>Wet</v>
      </c>
    </row>
    <row r="32" spans="2:18" x14ac:dyDescent="0.3">
      <c r="K32" s="36" t="s">
        <v>80</v>
      </c>
      <c r="L32" s="37">
        <v>26</v>
      </c>
      <c r="M32" s="37">
        <v>0</v>
      </c>
      <c r="N32" s="37"/>
      <c r="O32" s="37" t="s">
        <v>71</v>
      </c>
      <c r="P32" s="37" t="s">
        <v>72</v>
      </c>
      <c r="Q32" s="37" t="s">
        <v>69</v>
      </c>
      <c r="R32" s="33" t="str">
        <f t="shared" si="1"/>
        <v>Dry</v>
      </c>
    </row>
  </sheetData>
  <mergeCells count="6">
    <mergeCell ref="D4:I5"/>
    <mergeCell ref="K4:Q4"/>
    <mergeCell ref="D11:I12"/>
    <mergeCell ref="K11:M11"/>
    <mergeCell ref="D23:I25"/>
    <mergeCell ref="K23:R2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2F88-54CC-44F3-AEA2-10021E7BFA20}">
  <dimension ref="B2:V80"/>
  <sheetViews>
    <sheetView showGridLines="0" zoomScale="87" zoomScaleNormal="87" workbookViewId="0">
      <selection activeCell="N80" sqref="N80"/>
    </sheetView>
  </sheetViews>
  <sheetFormatPr defaultRowHeight="14.4" x14ac:dyDescent="0.3"/>
  <cols>
    <col min="1" max="1" width="8.109375" customWidth="1"/>
    <col min="2" max="2" width="17.109375" bestFit="1" customWidth="1"/>
    <col min="3" max="3" width="3" style="2" customWidth="1"/>
    <col min="4" max="4" width="10.6640625" customWidth="1"/>
    <col min="6" max="6" width="12" bestFit="1" customWidth="1"/>
    <col min="7" max="9" width="12" customWidth="1"/>
    <col min="11" max="11" width="34.44140625" bestFit="1" customWidth="1"/>
    <col min="12" max="12" width="11.44140625" bestFit="1" customWidth="1"/>
    <col min="13" max="13" width="54.88671875" bestFit="1" customWidth="1"/>
    <col min="14" max="14" width="22.21875" bestFit="1" customWidth="1"/>
    <col min="15" max="15" width="15.21875" bestFit="1" customWidth="1"/>
    <col min="16" max="16" width="18.5546875" bestFit="1" customWidth="1"/>
    <col min="17" max="17" width="8" bestFit="1" customWidth="1"/>
    <col min="18" max="18" width="18.5546875" bestFit="1" customWidth="1"/>
    <col min="19" max="19" width="7" bestFit="1" customWidth="1"/>
    <col min="20" max="20" width="6" bestFit="1" customWidth="1"/>
    <col min="21" max="21" width="9.6640625" bestFit="1" customWidth="1"/>
    <col min="22" max="22" width="9" bestFit="1" customWidth="1"/>
  </cols>
  <sheetData>
    <row r="2" spans="2:22" ht="18" x14ac:dyDescent="0.35">
      <c r="B2" s="1" t="s">
        <v>81</v>
      </c>
      <c r="E2" s="3"/>
    </row>
    <row r="4" spans="2:22" x14ac:dyDescent="0.3">
      <c r="B4" s="4">
        <v>1</v>
      </c>
      <c r="D4" s="117" t="s">
        <v>82</v>
      </c>
      <c r="E4" s="117"/>
      <c r="F4" s="117"/>
      <c r="G4" s="117"/>
      <c r="H4" s="117"/>
      <c r="I4" s="117"/>
      <c r="K4" s="120" t="s">
        <v>83</v>
      </c>
      <c r="L4" s="120"/>
      <c r="M4" s="120"/>
      <c r="N4" s="120"/>
      <c r="O4" s="120"/>
      <c r="P4" s="120"/>
    </row>
    <row r="5" spans="2:22" x14ac:dyDescent="0.3">
      <c r="D5" s="117"/>
      <c r="E5" s="117"/>
      <c r="F5" s="117"/>
      <c r="G5" s="117"/>
      <c r="H5" s="117"/>
      <c r="I5" s="117"/>
    </row>
    <row r="6" spans="2:22" x14ac:dyDescent="0.3">
      <c r="K6" s="42" t="s">
        <v>20</v>
      </c>
      <c r="L6" s="43" t="s">
        <v>19</v>
      </c>
      <c r="M6" s="44" t="s">
        <v>3</v>
      </c>
      <c r="N6" s="45" t="s">
        <v>6</v>
      </c>
      <c r="O6" s="46" t="s">
        <v>7</v>
      </c>
      <c r="P6" s="47" t="s">
        <v>8</v>
      </c>
      <c r="Q6" t="s">
        <v>19</v>
      </c>
    </row>
    <row r="7" spans="2:22" x14ac:dyDescent="0.3">
      <c r="K7" s="48" t="s">
        <v>52</v>
      </c>
      <c r="L7" s="49"/>
      <c r="M7" s="49">
        <v>81097</v>
      </c>
      <c r="N7" s="49">
        <v>164150</v>
      </c>
      <c r="O7" s="49">
        <v>4327</v>
      </c>
      <c r="P7" s="50">
        <v>2200000</v>
      </c>
      <c r="Q7">
        <f>SUM(M7:P7)</f>
        <v>2449574</v>
      </c>
    </row>
    <row r="9" spans="2:22" x14ac:dyDescent="0.3">
      <c r="B9" s="4">
        <v>2</v>
      </c>
      <c r="D9" s="117" t="s">
        <v>84</v>
      </c>
      <c r="E9" s="117"/>
      <c r="F9" s="117"/>
      <c r="G9" s="117"/>
      <c r="H9" s="117"/>
      <c r="I9" s="117"/>
      <c r="K9" s="120" t="s">
        <v>85</v>
      </c>
      <c r="L9" s="120"/>
      <c r="M9" s="120"/>
      <c r="N9" s="120"/>
      <c r="O9" s="120"/>
      <c r="P9" s="120"/>
      <c r="R9" s="120" t="s">
        <v>86</v>
      </c>
      <c r="S9" s="120"/>
      <c r="T9" s="120"/>
      <c r="U9" s="120"/>
      <c r="V9" s="120"/>
    </row>
    <row r="10" spans="2:22" x14ac:dyDescent="0.3">
      <c r="D10" s="117"/>
      <c r="E10" s="117"/>
      <c r="F10" s="117"/>
      <c r="G10" s="117"/>
      <c r="H10" s="117"/>
      <c r="I10" s="117"/>
    </row>
    <row r="11" spans="2:22" x14ac:dyDescent="0.3">
      <c r="K11" s="42" t="s">
        <v>87</v>
      </c>
      <c r="L11" s="51" t="s">
        <v>20</v>
      </c>
      <c r="M11" s="43" t="s">
        <v>19</v>
      </c>
      <c r="N11" s="44" t="s">
        <v>3</v>
      </c>
      <c r="O11" s="45" t="s">
        <v>6</v>
      </c>
      <c r="P11" s="52" t="s">
        <v>7</v>
      </c>
      <c r="R11" s="53" t="s">
        <v>20</v>
      </c>
      <c r="S11" s="54" t="s">
        <v>19</v>
      </c>
      <c r="T11" s="55" t="s">
        <v>3</v>
      </c>
      <c r="U11" s="56" t="s">
        <v>6</v>
      </c>
      <c r="V11" s="57" t="s">
        <v>7</v>
      </c>
    </row>
    <row r="12" spans="2:22" x14ac:dyDescent="0.3">
      <c r="K12" s="58" t="s">
        <v>73</v>
      </c>
      <c r="L12" s="11" t="s">
        <v>9</v>
      </c>
      <c r="M12" s="18">
        <f>SUM(N12:P12)</f>
        <v>120267</v>
      </c>
      <c r="N12">
        <v>12259</v>
      </c>
      <c r="O12" s="18">
        <v>105494</v>
      </c>
      <c r="P12" s="59">
        <v>2514</v>
      </c>
      <c r="R12" s="11" t="s">
        <v>9</v>
      </c>
      <c r="S12" s="18">
        <f>SUMIF($L$12:$L$16,R12,$M$12:$M$16)</f>
        <v>140366</v>
      </c>
      <c r="T12" s="18">
        <f>SUMIF($L$12:$L$16,R12,$N$12:$N$16)</f>
        <v>22417</v>
      </c>
      <c r="U12" s="18">
        <f>SUMIF($L$12:$L$16,R12,$O$12:$O$16)</f>
        <v>108214</v>
      </c>
      <c r="V12" s="18">
        <f>SUMIF($L$12:$L$16,R12,$P$12:$P$16)</f>
        <v>9735</v>
      </c>
    </row>
    <row r="13" spans="2:22" x14ac:dyDescent="0.3">
      <c r="K13" s="58" t="s">
        <v>88</v>
      </c>
      <c r="L13" s="11" t="s">
        <v>9</v>
      </c>
      <c r="M13" s="18">
        <f t="shared" ref="M13:M16" si="0">SUM(N13:P13)</f>
        <v>20099</v>
      </c>
      <c r="N13">
        <v>10158</v>
      </c>
      <c r="O13">
        <v>2720</v>
      </c>
      <c r="P13" s="33">
        <v>7221</v>
      </c>
      <c r="R13" s="11" t="s">
        <v>52</v>
      </c>
      <c r="S13" s="18">
        <f t="shared" ref="S13:S14" si="1">SUMIF($L$12:$L$16,R13,$M$12:$M$16)</f>
        <v>112626</v>
      </c>
      <c r="T13" s="18">
        <f t="shared" ref="T13:T14" si="2">SUMIF($L$12:$L$16,R13,$N$12:$N$16)</f>
        <v>39127</v>
      </c>
      <c r="U13" s="18">
        <f t="shared" ref="U13:U14" si="3">SUMIF($L$12:$L$16,R13,$O$12:$O$16)</f>
        <v>71724</v>
      </c>
      <c r="V13" s="18">
        <f t="shared" ref="V13:V14" si="4">SUMIF($L$12:$L$16,R13,$P$12:$P$16)</f>
        <v>1775</v>
      </c>
    </row>
    <row r="14" spans="2:22" x14ac:dyDescent="0.3">
      <c r="K14" s="58" t="s">
        <v>66</v>
      </c>
      <c r="L14" s="11" t="s">
        <v>52</v>
      </c>
      <c r="M14" s="18">
        <f t="shared" si="0"/>
        <v>96909</v>
      </c>
      <c r="N14">
        <v>33280</v>
      </c>
      <c r="O14">
        <v>62041</v>
      </c>
      <c r="P14" s="33">
        <v>1588</v>
      </c>
      <c r="R14" s="11" t="s">
        <v>11</v>
      </c>
      <c r="S14" s="18">
        <f t="shared" si="1"/>
        <v>6095</v>
      </c>
      <c r="T14" s="18">
        <f t="shared" si="2"/>
        <v>2500</v>
      </c>
      <c r="U14" s="18">
        <f t="shared" si="3"/>
        <v>3495</v>
      </c>
      <c r="V14" s="18">
        <f t="shared" si="4"/>
        <v>100</v>
      </c>
    </row>
    <row r="15" spans="2:22" x14ac:dyDescent="0.3">
      <c r="K15" s="58" t="s">
        <v>89</v>
      </c>
      <c r="L15" s="11" t="s">
        <v>52</v>
      </c>
      <c r="M15" s="18">
        <f t="shared" si="0"/>
        <v>15717</v>
      </c>
      <c r="N15">
        <v>5847</v>
      </c>
      <c r="O15">
        <v>9683</v>
      </c>
      <c r="P15" s="33">
        <v>187</v>
      </c>
    </row>
    <row r="16" spans="2:22" x14ac:dyDescent="0.3">
      <c r="K16" s="60" t="s">
        <v>90</v>
      </c>
      <c r="L16" s="61" t="s">
        <v>11</v>
      </c>
      <c r="M16" s="49">
        <f t="shared" si="0"/>
        <v>6095</v>
      </c>
      <c r="N16" s="37">
        <v>2500</v>
      </c>
      <c r="O16" s="37">
        <v>3495</v>
      </c>
      <c r="P16" s="38">
        <v>100</v>
      </c>
    </row>
    <row r="19" spans="2:16" x14ac:dyDescent="0.3">
      <c r="B19" s="4">
        <v>3</v>
      </c>
      <c r="D19" s="116" t="s">
        <v>91</v>
      </c>
      <c r="E19" s="116"/>
      <c r="F19" s="116"/>
      <c r="G19" s="116"/>
      <c r="H19" s="116"/>
      <c r="I19" s="116"/>
      <c r="K19" s="120" t="s">
        <v>92</v>
      </c>
      <c r="L19" s="120"/>
      <c r="M19" s="120"/>
      <c r="N19" s="120"/>
      <c r="O19" s="120"/>
      <c r="P19" s="120"/>
    </row>
    <row r="20" spans="2:16" x14ac:dyDescent="0.3">
      <c r="D20" s="116"/>
      <c r="E20" s="116"/>
      <c r="F20" s="116"/>
      <c r="G20" s="116"/>
      <c r="H20" s="116"/>
      <c r="I20" s="116"/>
      <c r="K20" t="s">
        <v>93</v>
      </c>
    </row>
    <row r="21" spans="2:16" x14ac:dyDescent="0.3">
      <c r="K21" t="s">
        <v>94</v>
      </c>
    </row>
    <row r="22" spans="2:16" x14ac:dyDescent="0.3">
      <c r="M22" s="10" t="s">
        <v>95</v>
      </c>
      <c r="N22" s="8">
        <f>COUNTIFS($M$25:$M$29,"Male",N$25:N$29,"p")</f>
        <v>1</v>
      </c>
      <c r="O22" s="8">
        <f t="shared" ref="O22:P22" si="5">COUNTIFS($M$25:$M$29,"Male",O$25:O$29,"p")</f>
        <v>1</v>
      </c>
      <c r="P22" s="8">
        <f t="shared" si="5"/>
        <v>2</v>
      </c>
    </row>
    <row r="23" spans="2:16" x14ac:dyDescent="0.3">
      <c r="M23" s="10" t="s">
        <v>96</v>
      </c>
      <c r="N23" s="8">
        <f>COUNTIFS($M$25:$M$29,"Female",N25:N29,"P")</f>
        <v>2</v>
      </c>
      <c r="O23" s="8">
        <f t="shared" ref="O23:P23" si="6">COUNTIFS($M$25:$M$29,"Female",O25:O29,"P")</f>
        <v>1</v>
      </c>
      <c r="P23" s="8">
        <f t="shared" si="6"/>
        <v>3</v>
      </c>
    </row>
    <row r="24" spans="2:16" x14ac:dyDescent="0.3">
      <c r="K24" s="62" t="s">
        <v>97</v>
      </c>
      <c r="L24" s="62" t="s">
        <v>98</v>
      </c>
      <c r="M24" s="62" t="s">
        <v>99</v>
      </c>
      <c r="N24" s="62" t="s">
        <v>100</v>
      </c>
      <c r="O24" s="62" t="s">
        <v>101</v>
      </c>
      <c r="P24" s="62" t="s">
        <v>102</v>
      </c>
    </row>
    <row r="25" spans="2:16" x14ac:dyDescent="0.3">
      <c r="K25" s="8">
        <v>1</v>
      </c>
      <c r="L25" s="8" t="s">
        <v>103</v>
      </c>
      <c r="M25" s="8" t="s">
        <v>104</v>
      </c>
      <c r="N25" s="8" t="s">
        <v>94</v>
      </c>
      <c r="O25" s="8" t="s">
        <v>94</v>
      </c>
      <c r="P25" s="8" t="s">
        <v>94</v>
      </c>
    </row>
    <row r="26" spans="2:16" x14ac:dyDescent="0.3">
      <c r="K26" s="8">
        <v>2</v>
      </c>
      <c r="L26" s="8" t="s">
        <v>105</v>
      </c>
      <c r="M26" s="8" t="s">
        <v>106</v>
      </c>
      <c r="N26" s="8" t="s">
        <v>94</v>
      </c>
      <c r="O26" s="8" t="s">
        <v>107</v>
      </c>
      <c r="P26" s="8" t="s">
        <v>94</v>
      </c>
    </row>
    <row r="27" spans="2:16" x14ac:dyDescent="0.3">
      <c r="K27" s="8">
        <v>3</v>
      </c>
      <c r="L27" s="8" t="s">
        <v>108</v>
      </c>
      <c r="M27" s="8" t="s">
        <v>106</v>
      </c>
      <c r="N27" s="8" t="s">
        <v>107</v>
      </c>
      <c r="O27" s="8" t="s">
        <v>94</v>
      </c>
      <c r="P27" s="8" t="s">
        <v>94</v>
      </c>
    </row>
    <row r="28" spans="2:16" x14ac:dyDescent="0.3">
      <c r="K28" s="8">
        <v>4</v>
      </c>
      <c r="L28" s="8" t="s">
        <v>109</v>
      </c>
      <c r="M28" s="8" t="s">
        <v>106</v>
      </c>
      <c r="N28" s="8" t="s">
        <v>94</v>
      </c>
      <c r="O28" s="8" t="s">
        <v>107</v>
      </c>
      <c r="P28" s="8" t="s">
        <v>94</v>
      </c>
    </row>
    <row r="29" spans="2:16" x14ac:dyDescent="0.3">
      <c r="K29" s="8">
        <v>5</v>
      </c>
      <c r="L29" s="8" t="s">
        <v>110</v>
      </c>
      <c r="M29" s="8" t="s">
        <v>104</v>
      </c>
      <c r="N29" s="8" t="s">
        <v>107</v>
      </c>
      <c r="O29" s="8" t="s">
        <v>107</v>
      </c>
      <c r="P29" s="8" t="s">
        <v>94</v>
      </c>
    </row>
    <row r="31" spans="2:16" x14ac:dyDescent="0.3">
      <c r="B31" s="4">
        <v>4</v>
      </c>
      <c r="D31" s="116" t="s">
        <v>111</v>
      </c>
      <c r="E31" s="116"/>
      <c r="F31" s="116"/>
      <c r="G31" s="116"/>
      <c r="H31" s="116"/>
      <c r="I31" s="116"/>
      <c r="K31" s="120" t="s">
        <v>85</v>
      </c>
      <c r="L31" s="120"/>
      <c r="M31" s="120"/>
      <c r="N31" s="120"/>
      <c r="O31" s="120"/>
      <c r="P31" s="120"/>
    </row>
    <row r="32" spans="2:16" x14ac:dyDescent="0.3">
      <c r="D32" s="116"/>
      <c r="E32" s="116"/>
      <c r="F32" s="116"/>
      <c r="G32" s="116"/>
      <c r="H32" s="116"/>
      <c r="I32" s="116"/>
    </row>
    <row r="33" spans="2:19" x14ac:dyDescent="0.3">
      <c r="K33" s="42" t="s">
        <v>87</v>
      </c>
      <c r="L33" s="51" t="s">
        <v>20</v>
      </c>
      <c r="M33" s="43" t="s">
        <v>19</v>
      </c>
      <c r="N33" s="44" t="s">
        <v>3</v>
      </c>
      <c r="O33" s="45" t="s">
        <v>6</v>
      </c>
      <c r="P33" s="52" t="s">
        <v>7</v>
      </c>
    </row>
    <row r="34" spans="2:19" x14ac:dyDescent="0.3">
      <c r="K34" s="58" t="s">
        <v>73</v>
      </c>
      <c r="L34" s="11" t="s">
        <v>9</v>
      </c>
      <c r="M34" s="18">
        <f>SUM(N34:P34)</f>
        <v>120267</v>
      </c>
      <c r="N34">
        <v>12259</v>
      </c>
      <c r="O34" s="18">
        <v>105494</v>
      </c>
      <c r="P34" s="59">
        <v>2514</v>
      </c>
      <c r="R34" t="s">
        <v>270</v>
      </c>
      <c r="S34">
        <f>LARGE($P$34:$P$38,1)</f>
        <v>7221</v>
      </c>
    </row>
    <row r="35" spans="2:19" x14ac:dyDescent="0.3">
      <c r="K35" s="58" t="s">
        <v>88</v>
      </c>
      <c r="L35" s="11" t="s">
        <v>9</v>
      </c>
      <c r="M35" s="18">
        <f t="shared" ref="M35:M38" si="7">SUM(N35:P35)</f>
        <v>20099</v>
      </c>
      <c r="N35">
        <v>10158</v>
      </c>
      <c r="O35">
        <v>2720</v>
      </c>
      <c r="P35" s="33">
        <v>7221</v>
      </c>
      <c r="R35" t="s">
        <v>271</v>
      </c>
      <c r="S35">
        <f>LARGE($P$34:$P$38,2)</f>
        <v>2514</v>
      </c>
    </row>
    <row r="36" spans="2:19" x14ac:dyDescent="0.3">
      <c r="K36" s="58" t="s">
        <v>66</v>
      </c>
      <c r="L36" s="11" t="s">
        <v>52</v>
      </c>
      <c r="M36" s="18">
        <f t="shared" si="7"/>
        <v>96909</v>
      </c>
      <c r="N36">
        <v>33280</v>
      </c>
      <c r="O36">
        <v>62041</v>
      </c>
      <c r="P36" s="33">
        <v>1588</v>
      </c>
      <c r="R36" t="s">
        <v>272</v>
      </c>
      <c r="S36">
        <f>LARGE($P$34:$P$38,3)</f>
        <v>1588</v>
      </c>
    </row>
    <row r="37" spans="2:19" x14ac:dyDescent="0.3">
      <c r="K37" s="58" t="s">
        <v>89</v>
      </c>
      <c r="L37" s="11" t="s">
        <v>52</v>
      </c>
      <c r="M37" s="18">
        <f t="shared" si="7"/>
        <v>15717</v>
      </c>
      <c r="N37">
        <v>5847</v>
      </c>
      <c r="O37">
        <v>9683</v>
      </c>
      <c r="P37" s="33">
        <v>187</v>
      </c>
    </row>
    <row r="38" spans="2:19" x14ac:dyDescent="0.3">
      <c r="K38" s="60" t="s">
        <v>90</v>
      </c>
      <c r="L38" s="61" t="s">
        <v>11</v>
      </c>
      <c r="M38" s="49">
        <f t="shared" si="7"/>
        <v>6095</v>
      </c>
      <c r="N38" s="37">
        <v>2500</v>
      </c>
      <c r="O38" s="37">
        <v>3495</v>
      </c>
      <c r="P38" s="38">
        <v>100</v>
      </c>
    </row>
    <row r="39" spans="2:19" x14ac:dyDescent="0.3">
      <c r="K39" s="11"/>
      <c r="L39" s="11"/>
      <c r="M39" s="18"/>
    </row>
    <row r="40" spans="2:19" ht="15" customHeight="1" x14ac:dyDescent="0.3">
      <c r="B40" s="4">
        <v>5</v>
      </c>
      <c r="D40" s="116" t="s">
        <v>112</v>
      </c>
      <c r="E40" s="116"/>
      <c r="F40" s="116"/>
      <c r="G40" s="116"/>
      <c r="H40" s="116"/>
      <c r="I40" s="116"/>
      <c r="K40" s="63"/>
    </row>
    <row r="41" spans="2:19" x14ac:dyDescent="0.3">
      <c r="D41" s="116"/>
      <c r="E41" s="116"/>
      <c r="F41" s="116"/>
      <c r="G41" s="116"/>
      <c r="H41" s="116"/>
      <c r="I41" s="116"/>
      <c r="K41" s="11" t="s">
        <v>113</v>
      </c>
      <c r="M41" s="104" t="str">
        <f>HYPERLINK("https://www.covid19india.org/","COVID19INDIA")</f>
        <v>COVID19INDIA</v>
      </c>
      <c r="N41" s="63"/>
    </row>
    <row r="42" spans="2:19" x14ac:dyDescent="0.3">
      <c r="D42" s="116"/>
      <c r="E42" s="116"/>
      <c r="F42" s="116"/>
      <c r="G42" s="116"/>
      <c r="H42" s="116"/>
      <c r="I42" s="116"/>
    </row>
    <row r="43" spans="2:19" x14ac:dyDescent="0.3">
      <c r="D43" s="116"/>
      <c r="E43" s="116"/>
      <c r="F43" s="116"/>
      <c r="G43" s="116"/>
      <c r="H43" s="116"/>
      <c r="I43" s="116"/>
    </row>
    <row r="45" spans="2:19" ht="15" customHeight="1" x14ac:dyDescent="0.3">
      <c r="B45" s="4">
        <v>6</v>
      </c>
      <c r="D45" s="116" t="s">
        <v>114</v>
      </c>
      <c r="E45" s="116"/>
      <c r="F45" s="116"/>
      <c r="G45" s="116"/>
      <c r="H45" s="116"/>
      <c r="I45" s="116"/>
      <c r="K45" t="s">
        <v>115</v>
      </c>
      <c r="M45" s="8" t="str">
        <f ca="1">_xlfn.FORMULATEXT(M41)</f>
        <v>=HYPERLINK("https://www.covid19india.org/","COVID19INDIA")</v>
      </c>
    </row>
    <row r="46" spans="2:19" ht="14.25" customHeight="1" x14ac:dyDescent="0.3">
      <c r="D46" s="116"/>
      <c r="E46" s="116"/>
      <c r="F46" s="116"/>
      <c r="G46" s="116"/>
      <c r="H46" s="116"/>
      <c r="I46" s="116"/>
    </row>
    <row r="48" spans="2:19" x14ac:dyDescent="0.3">
      <c r="B48" s="4">
        <v>7</v>
      </c>
      <c r="D48" s="116" t="s">
        <v>116</v>
      </c>
      <c r="E48" s="116"/>
      <c r="F48" s="116"/>
      <c r="G48" s="116"/>
      <c r="H48" s="116"/>
      <c r="I48" s="116"/>
      <c r="K48" s="120" t="s">
        <v>117</v>
      </c>
      <c r="L48" s="120"/>
      <c r="M48" s="120"/>
      <c r="N48" s="120"/>
      <c r="O48" s="120"/>
      <c r="P48" s="120"/>
    </row>
    <row r="49" spans="2:18" x14ac:dyDescent="0.3">
      <c r="D49" s="116"/>
      <c r="E49" s="116"/>
      <c r="F49" s="116"/>
      <c r="G49" s="116"/>
      <c r="H49" s="116"/>
      <c r="I49" s="116"/>
    </row>
    <row r="50" spans="2:18" x14ac:dyDescent="0.3">
      <c r="K50" s="121" t="s">
        <v>118</v>
      </c>
      <c r="L50" s="122"/>
      <c r="M50" s="122"/>
      <c r="N50" s="65" t="s">
        <v>119</v>
      </c>
      <c r="O50" s="66" t="s">
        <v>120</v>
      </c>
      <c r="P50" s="67" t="s">
        <v>121</v>
      </c>
      <c r="R50" s="64"/>
    </row>
    <row r="51" spans="2:18" x14ac:dyDescent="0.3">
      <c r="K51" s="58" t="s">
        <v>122</v>
      </c>
      <c r="N51" s="68">
        <v>700000000</v>
      </c>
      <c r="O51">
        <v>5</v>
      </c>
      <c r="P51" s="69">
        <f>SUMPRODUCT(O51*N51)</f>
        <v>3500000000</v>
      </c>
    </row>
    <row r="52" spans="2:18" x14ac:dyDescent="0.3">
      <c r="K52" s="58" t="s">
        <v>123</v>
      </c>
      <c r="N52" s="68">
        <v>500000000</v>
      </c>
      <c r="O52">
        <v>7</v>
      </c>
      <c r="P52" s="69">
        <f t="shared" ref="P52:P54" si="8">SUMPRODUCT(O52*N52)</f>
        <v>3500000000</v>
      </c>
      <c r="R52" s="64">
        <f>SUM(P51:P54)</f>
        <v>9200000000</v>
      </c>
    </row>
    <row r="53" spans="2:18" x14ac:dyDescent="0.3">
      <c r="K53" s="58" t="s">
        <v>124</v>
      </c>
      <c r="N53" s="68">
        <v>300000000</v>
      </c>
      <c r="O53">
        <v>4</v>
      </c>
      <c r="P53" s="69">
        <f t="shared" si="8"/>
        <v>1200000000</v>
      </c>
    </row>
    <row r="54" spans="2:18" x14ac:dyDescent="0.3">
      <c r="K54" s="60" t="s">
        <v>125</v>
      </c>
      <c r="L54" s="37"/>
      <c r="M54" s="37"/>
      <c r="N54" s="70">
        <v>500000000</v>
      </c>
      <c r="O54" s="37">
        <v>2</v>
      </c>
      <c r="P54" s="69">
        <f t="shared" si="8"/>
        <v>1000000000</v>
      </c>
    </row>
    <row r="55" spans="2:18" x14ac:dyDescent="0.3">
      <c r="K55" s="11"/>
    </row>
    <row r="56" spans="2:18" x14ac:dyDescent="0.3">
      <c r="B56" s="4">
        <v>8</v>
      </c>
      <c r="D56" s="116" t="s">
        <v>126</v>
      </c>
      <c r="E56" s="116"/>
      <c r="F56" s="116"/>
      <c r="G56" s="116"/>
      <c r="H56" s="116"/>
      <c r="I56" s="116"/>
      <c r="K56" s="120" t="s">
        <v>127</v>
      </c>
      <c r="L56" s="120"/>
    </row>
    <row r="57" spans="2:18" x14ac:dyDescent="0.3">
      <c r="D57" s="116"/>
      <c r="E57" s="116"/>
      <c r="F57" s="116"/>
      <c r="G57" s="116"/>
      <c r="H57" s="116"/>
      <c r="I57" s="116"/>
      <c r="N57" t="s">
        <v>128</v>
      </c>
    </row>
    <row r="58" spans="2:18" x14ac:dyDescent="0.3">
      <c r="K58" s="62" t="s">
        <v>129</v>
      </c>
      <c r="L58" s="71" t="s">
        <v>130</v>
      </c>
      <c r="N58" t="s">
        <v>131</v>
      </c>
    </row>
    <row r="59" spans="2:18" x14ac:dyDescent="0.3">
      <c r="K59" s="8">
        <v>1</v>
      </c>
      <c r="L59" s="8" t="str">
        <f>_xlfn.SWITCH($K$59:$K$65,1,"Monday",2,"Tuesday",3,"Wedneday",4,"Thursday",5,"Friday",6,"Saturday",7,"Sunday")</f>
        <v>Monday</v>
      </c>
      <c r="N59" t="s">
        <v>132</v>
      </c>
    </row>
    <row r="60" spans="2:18" x14ac:dyDescent="0.3">
      <c r="K60" s="8">
        <v>2</v>
      </c>
      <c r="L60" s="8" t="str">
        <f t="shared" ref="L60:L65" si="9">_xlfn.SWITCH($K$59:$K$65,1,"Monday",2,"Tuesday",3,"Wedneday",4,"Thursday",5,"Friday",6,"Saturday",7,"Sunday")</f>
        <v>Tuesday</v>
      </c>
      <c r="N60" t="s">
        <v>133</v>
      </c>
    </row>
    <row r="61" spans="2:18" x14ac:dyDescent="0.3">
      <c r="K61" s="8">
        <v>3</v>
      </c>
      <c r="L61" s="8" t="str">
        <f t="shared" si="9"/>
        <v>Wedneday</v>
      </c>
    </row>
    <row r="62" spans="2:18" x14ac:dyDescent="0.3">
      <c r="K62" s="8">
        <v>4</v>
      </c>
      <c r="L62" s="8" t="str">
        <f t="shared" si="9"/>
        <v>Thursday</v>
      </c>
    </row>
    <row r="63" spans="2:18" x14ac:dyDescent="0.3">
      <c r="K63" s="8">
        <v>5</v>
      </c>
      <c r="L63" s="8" t="str">
        <f t="shared" si="9"/>
        <v>Friday</v>
      </c>
    </row>
    <row r="64" spans="2:18" x14ac:dyDescent="0.3">
      <c r="K64" s="8">
        <v>6</v>
      </c>
      <c r="L64" s="8" t="str">
        <f t="shared" si="9"/>
        <v>Saturday</v>
      </c>
    </row>
    <row r="65" spans="2:16" x14ac:dyDescent="0.3">
      <c r="K65" s="8">
        <v>7</v>
      </c>
      <c r="L65" s="8" t="str">
        <f t="shared" si="9"/>
        <v>Sunday</v>
      </c>
      <c r="N65" t="s">
        <v>134</v>
      </c>
    </row>
    <row r="67" spans="2:16" x14ac:dyDescent="0.3">
      <c r="B67" s="4">
        <v>9</v>
      </c>
      <c r="D67" s="116" t="s">
        <v>135</v>
      </c>
      <c r="E67" s="116"/>
      <c r="F67" s="116"/>
      <c r="G67" s="116"/>
      <c r="H67" s="116"/>
      <c r="I67" s="116"/>
      <c r="K67" s="120" t="s">
        <v>85</v>
      </c>
      <c r="L67" s="120"/>
      <c r="M67" s="120"/>
      <c r="N67" s="120"/>
      <c r="O67" s="120"/>
      <c r="P67" s="120"/>
    </row>
    <row r="68" spans="2:16" x14ac:dyDescent="0.3">
      <c r="D68" s="116"/>
      <c r="E68" s="116"/>
      <c r="F68" s="116"/>
      <c r="G68" s="116"/>
      <c r="H68" s="116"/>
      <c r="I68" s="116"/>
    </row>
    <row r="69" spans="2:16" x14ac:dyDescent="0.3">
      <c r="K69" s="53" t="s">
        <v>87</v>
      </c>
      <c r="L69" s="53" t="s">
        <v>20</v>
      </c>
      <c r="M69" s="54" t="s">
        <v>19</v>
      </c>
      <c r="N69" s="55" t="s">
        <v>3</v>
      </c>
      <c r="O69" s="56" t="s">
        <v>6</v>
      </c>
      <c r="P69" s="57" t="s">
        <v>7</v>
      </c>
    </row>
    <row r="70" spans="2:16" x14ac:dyDescent="0.3">
      <c r="K70" s="11" t="s">
        <v>73</v>
      </c>
      <c r="L70" s="11" t="s">
        <v>9</v>
      </c>
      <c r="M70" s="18">
        <f>SUM(N70:P70)</f>
        <v>120267</v>
      </c>
      <c r="N70">
        <v>12259</v>
      </c>
      <c r="O70" s="18">
        <v>105494</v>
      </c>
      <c r="P70" s="18">
        <v>2514</v>
      </c>
    </row>
    <row r="71" spans="2:16" x14ac:dyDescent="0.3">
      <c r="K71" s="11" t="s">
        <v>88</v>
      </c>
      <c r="L71" s="11" t="s">
        <v>9</v>
      </c>
      <c r="M71" s="18">
        <f t="shared" ref="M71:M74" si="10">SUM(N71:P71)</f>
        <v>20099</v>
      </c>
      <c r="N71">
        <v>10158</v>
      </c>
      <c r="O71">
        <v>2720</v>
      </c>
      <c r="P71">
        <v>7221</v>
      </c>
    </row>
    <row r="72" spans="2:16" x14ac:dyDescent="0.3">
      <c r="K72" s="11" t="s">
        <v>66</v>
      </c>
      <c r="L72" s="11" t="s">
        <v>52</v>
      </c>
      <c r="M72" s="18">
        <f t="shared" si="10"/>
        <v>96909</v>
      </c>
      <c r="N72">
        <v>33280</v>
      </c>
      <c r="O72">
        <v>62041</v>
      </c>
      <c r="P72">
        <v>1588</v>
      </c>
    </row>
    <row r="73" spans="2:16" x14ac:dyDescent="0.3">
      <c r="K73" s="11" t="s">
        <v>89</v>
      </c>
      <c r="L73" s="11" t="s">
        <v>52</v>
      </c>
      <c r="M73" s="18">
        <f t="shared" si="10"/>
        <v>15717</v>
      </c>
      <c r="N73">
        <v>5847</v>
      </c>
      <c r="O73">
        <v>9683</v>
      </c>
      <c r="P73">
        <v>187</v>
      </c>
    </row>
    <row r="74" spans="2:16" x14ac:dyDescent="0.3">
      <c r="K74" s="11" t="s">
        <v>90</v>
      </c>
      <c r="L74" s="11" t="s">
        <v>11</v>
      </c>
      <c r="M74" s="18">
        <f t="shared" si="10"/>
        <v>6095</v>
      </c>
      <c r="N74">
        <v>2500</v>
      </c>
      <c r="O74">
        <v>3495</v>
      </c>
      <c r="P74">
        <v>100</v>
      </c>
    </row>
    <row r="76" spans="2:16" x14ac:dyDescent="0.3">
      <c r="K76" s="10" t="s">
        <v>136</v>
      </c>
      <c r="L76" s="8">
        <f>ROWS(DistrictWiseCOVIDCounts[])</f>
        <v>5</v>
      </c>
    </row>
    <row r="77" spans="2:16" x14ac:dyDescent="0.3">
      <c r="K77" s="10" t="s">
        <v>137</v>
      </c>
      <c r="L77" s="8">
        <f>COLUMNS(DistrictWiseCOVIDCounts[])</f>
        <v>6</v>
      </c>
    </row>
    <row r="79" spans="2:16" x14ac:dyDescent="0.3">
      <c r="K79" s="10"/>
    </row>
    <row r="80" spans="2:16" x14ac:dyDescent="0.3">
      <c r="K80" s="10"/>
    </row>
  </sheetData>
  <mergeCells count="18">
    <mergeCell ref="D67:I68"/>
    <mergeCell ref="K67:P67"/>
    <mergeCell ref="D48:I49"/>
    <mergeCell ref="K48:P48"/>
    <mergeCell ref="K50:M50"/>
    <mergeCell ref="D56:I57"/>
    <mergeCell ref="K56:L56"/>
    <mergeCell ref="D31:I32"/>
    <mergeCell ref="K31:P31"/>
    <mergeCell ref="D40:I43"/>
    <mergeCell ref="D45:I46"/>
    <mergeCell ref="D19:I20"/>
    <mergeCell ref="K19:P19"/>
    <mergeCell ref="D4:I5"/>
    <mergeCell ref="K4:P4"/>
    <mergeCell ref="D9:I10"/>
    <mergeCell ref="K9:P9"/>
    <mergeCell ref="R9:V9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6629-37F2-40D4-A5FF-9C7B4E58351D}">
  <dimension ref="B2:S67"/>
  <sheetViews>
    <sheetView showGridLines="0" zoomScaleNormal="100" workbookViewId="0">
      <selection activeCell="M44" sqref="M44"/>
    </sheetView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0.6640625" customWidth="1"/>
    <col min="6" max="6" width="12" bestFit="1" customWidth="1"/>
    <col min="7" max="7" width="12" customWidth="1"/>
    <col min="8" max="8" width="19" customWidth="1"/>
    <col min="9" max="9" width="14.33203125" customWidth="1"/>
    <col min="10" max="10" width="14" customWidth="1"/>
    <col min="11" max="11" width="31.33203125" customWidth="1"/>
    <col min="12" max="12" width="19" bestFit="1" customWidth="1"/>
    <col min="13" max="13" width="12.109375" bestFit="1" customWidth="1"/>
    <col min="14" max="14" width="29.33203125" bestFit="1" customWidth="1"/>
    <col min="15" max="15" width="26.6640625" bestFit="1" customWidth="1"/>
  </cols>
  <sheetData>
    <row r="2" spans="2:15" ht="18" x14ac:dyDescent="0.35">
      <c r="B2" s="1" t="s">
        <v>138</v>
      </c>
      <c r="E2" s="3"/>
      <c r="N2" t="s">
        <v>139</v>
      </c>
    </row>
    <row r="3" spans="2:15" x14ac:dyDescent="0.3">
      <c r="K3" s="126" t="s">
        <v>140</v>
      </c>
      <c r="L3" s="126"/>
      <c r="M3" s="126"/>
      <c r="N3" s="126"/>
      <c r="O3" s="126"/>
    </row>
    <row r="4" spans="2:15" x14ac:dyDescent="0.3">
      <c r="B4" s="4">
        <v>1</v>
      </c>
      <c r="D4" s="117" t="s">
        <v>141</v>
      </c>
      <c r="E4" s="117"/>
      <c r="F4" s="117"/>
      <c r="G4" s="117"/>
      <c r="H4" s="117"/>
      <c r="I4" s="117"/>
      <c r="K4" s="126"/>
      <c r="L4" s="126"/>
      <c r="M4" s="126"/>
      <c r="N4" s="126"/>
      <c r="O4" s="126"/>
    </row>
    <row r="5" spans="2:15" x14ac:dyDescent="0.3">
      <c r="D5" s="117"/>
      <c r="E5" s="117"/>
      <c r="F5" s="117"/>
      <c r="G5" s="117"/>
      <c r="H5" s="117"/>
      <c r="I5" s="117"/>
    </row>
    <row r="6" spans="2:15" x14ac:dyDescent="0.3">
      <c r="K6" s="62" t="s">
        <v>97</v>
      </c>
      <c r="L6" s="62" t="s">
        <v>142</v>
      </c>
      <c r="M6" s="62" t="s">
        <v>98</v>
      </c>
      <c r="N6" s="62" t="s">
        <v>143</v>
      </c>
      <c r="O6" s="62" t="s">
        <v>144</v>
      </c>
    </row>
    <row r="7" spans="2:15" x14ac:dyDescent="0.3">
      <c r="D7" t="s">
        <v>145</v>
      </c>
      <c r="K7" s="8">
        <v>1</v>
      </c>
      <c r="L7" s="8" t="s">
        <v>146</v>
      </c>
      <c r="M7" s="8" t="s">
        <v>147</v>
      </c>
      <c r="N7" s="8" t="s">
        <v>148</v>
      </c>
      <c r="O7" s="8" t="str">
        <f>_xlfn.CONCAT(L7," ",M7,", ",N7)</f>
        <v>Mr. Ram, CEO</v>
      </c>
    </row>
    <row r="8" spans="2:15" x14ac:dyDescent="0.3">
      <c r="K8" s="8">
        <v>2</v>
      </c>
      <c r="L8" s="8" t="s">
        <v>149</v>
      </c>
      <c r="M8" s="8" t="s">
        <v>150</v>
      </c>
      <c r="N8" s="8" t="s">
        <v>151</v>
      </c>
      <c r="O8" s="8" t="str">
        <f t="shared" ref="O8:O11" si="0">_xlfn.CONCAT(L8," ",M8,", ",N8)</f>
        <v>Dr. Ravi Prakash, CTO</v>
      </c>
    </row>
    <row r="9" spans="2:15" x14ac:dyDescent="0.3">
      <c r="E9" t="s">
        <v>152</v>
      </c>
      <c r="F9" s="72" t="s">
        <v>153</v>
      </c>
      <c r="G9" t="str">
        <f>_xlfn.CONCAT(E9,F9)</f>
        <v>HariHaran</v>
      </c>
      <c r="K9" s="8">
        <v>3</v>
      </c>
      <c r="L9" s="8" t="s">
        <v>154</v>
      </c>
      <c r="M9" s="8" t="s">
        <v>155</v>
      </c>
      <c r="N9" s="8" t="s">
        <v>156</v>
      </c>
      <c r="O9" s="8" t="str">
        <f t="shared" si="0"/>
        <v>Mrs. Anita Vineet, COO</v>
      </c>
    </row>
    <row r="10" spans="2:15" x14ac:dyDescent="0.3">
      <c r="K10" s="8">
        <v>4</v>
      </c>
      <c r="L10" s="8" t="s">
        <v>157</v>
      </c>
      <c r="M10" s="8" t="s">
        <v>158</v>
      </c>
      <c r="N10" s="8" t="s">
        <v>159</v>
      </c>
      <c r="O10" s="8" t="str">
        <f t="shared" si="0"/>
        <v>Ms. Akshaya, Lead, Projects</v>
      </c>
    </row>
    <row r="11" spans="2:15" x14ac:dyDescent="0.3">
      <c r="K11" s="8">
        <v>5</v>
      </c>
      <c r="L11" s="8" t="s">
        <v>146</v>
      </c>
      <c r="M11" s="8" t="s">
        <v>160</v>
      </c>
      <c r="N11" s="8" t="s">
        <v>161</v>
      </c>
      <c r="O11" s="8" t="str">
        <f t="shared" si="0"/>
        <v>Mr. Kumar, Lead, Operations</v>
      </c>
    </row>
    <row r="13" spans="2:15" x14ac:dyDescent="0.3">
      <c r="B13" s="4">
        <v>2</v>
      </c>
      <c r="D13" s="116" t="s">
        <v>162</v>
      </c>
      <c r="E13" s="116"/>
      <c r="F13" s="116"/>
      <c r="G13" s="116"/>
      <c r="H13" s="116"/>
      <c r="I13" s="116"/>
      <c r="K13" s="120" t="s">
        <v>163</v>
      </c>
      <c r="L13" s="120"/>
      <c r="M13" s="120"/>
      <c r="N13" s="120"/>
      <c r="O13" s="120"/>
    </row>
    <row r="14" spans="2:15" x14ac:dyDescent="0.3">
      <c r="D14" s="116"/>
      <c r="E14" s="116"/>
      <c r="F14" s="116"/>
      <c r="G14" s="116"/>
      <c r="H14" s="116"/>
      <c r="I14" s="116"/>
    </row>
    <row r="15" spans="2:15" x14ac:dyDescent="0.3">
      <c r="K15" s="62" t="s">
        <v>98</v>
      </c>
      <c r="L15" s="62" t="s">
        <v>164</v>
      </c>
      <c r="M15" s="62" t="s">
        <v>165</v>
      </c>
      <c r="N15" s="62" t="s">
        <v>166</v>
      </c>
    </row>
    <row r="16" spans="2:15" x14ac:dyDescent="0.3">
      <c r="K16" s="8" t="s">
        <v>167</v>
      </c>
      <c r="L16" s="73" t="s">
        <v>168</v>
      </c>
      <c r="M16" s="8" t="str">
        <f>LEFT($L$16:$L$18,3)</f>
        <v>011</v>
      </c>
      <c r="N16" s="8" t="str">
        <f>RIGHT($L$16:$L$18,7)</f>
        <v>2272862</v>
      </c>
    </row>
    <row r="17" spans="2:19" x14ac:dyDescent="0.3">
      <c r="K17" s="8" t="s">
        <v>169</v>
      </c>
      <c r="L17" s="73" t="s">
        <v>170</v>
      </c>
      <c r="M17" s="8" t="str">
        <f t="shared" ref="M17:M18" si="1">LEFT($L$16:$L$18,3)</f>
        <v>020</v>
      </c>
      <c r="N17" s="8" t="str">
        <f t="shared" ref="N17:N18" si="2">RIGHT($L$16:$L$18,7)</f>
        <v>2276744</v>
      </c>
    </row>
    <row r="18" spans="2:19" x14ac:dyDescent="0.3">
      <c r="K18" s="8" t="s">
        <v>171</v>
      </c>
      <c r="L18" s="73" t="s">
        <v>172</v>
      </c>
      <c r="M18" s="8" t="str">
        <f t="shared" si="1"/>
        <v>040</v>
      </c>
      <c r="N18" s="8" t="str">
        <f t="shared" si="2"/>
        <v>2278787</v>
      </c>
    </row>
    <row r="19" spans="2:19" x14ac:dyDescent="0.3">
      <c r="K19" s="15"/>
    </row>
    <row r="20" spans="2:19" x14ac:dyDescent="0.3">
      <c r="B20" s="4">
        <v>3</v>
      </c>
      <c r="D20" s="116" t="s">
        <v>173</v>
      </c>
      <c r="E20" s="116"/>
      <c r="F20" s="116"/>
      <c r="G20" s="116"/>
      <c r="H20" s="116"/>
      <c r="I20" s="116"/>
      <c r="K20" s="127" t="s">
        <v>174</v>
      </c>
      <c r="L20" s="127"/>
      <c r="M20" s="127"/>
      <c r="N20" s="127"/>
      <c r="O20" s="127"/>
      <c r="P20" s="127"/>
      <c r="Q20" s="127"/>
      <c r="R20" s="127"/>
      <c r="S20" s="127"/>
    </row>
    <row r="21" spans="2:19" x14ac:dyDescent="0.3">
      <c r="D21" s="116"/>
      <c r="E21" s="116"/>
      <c r="F21" s="116"/>
      <c r="G21" s="116"/>
      <c r="H21" s="116"/>
      <c r="I21" s="116"/>
      <c r="K21" s="15"/>
    </row>
    <row r="22" spans="2:19" x14ac:dyDescent="0.3">
      <c r="K22" s="74" t="s">
        <v>164</v>
      </c>
      <c r="L22" s="75"/>
      <c r="M22" s="75"/>
      <c r="N22" s="76"/>
      <c r="O22" s="128" t="s">
        <v>175</v>
      </c>
      <c r="P22" s="129"/>
      <c r="Q22" s="129"/>
      <c r="R22" s="129"/>
      <c r="S22" s="130"/>
    </row>
    <row r="23" spans="2:19" x14ac:dyDescent="0.3">
      <c r="K23" s="123" t="s">
        <v>176</v>
      </c>
      <c r="L23" s="124"/>
      <c r="M23" s="124"/>
      <c r="N23" s="125"/>
      <c r="O23" s="123" t="str">
        <f>UPPER(K23)</f>
        <v>DOUBLING RATES ARE REDUCING FAST OVER LAST WEEK</v>
      </c>
      <c r="P23" s="124"/>
      <c r="Q23" s="124"/>
      <c r="R23" s="124"/>
      <c r="S23" s="125"/>
    </row>
    <row r="24" spans="2:19" x14ac:dyDescent="0.3">
      <c r="K24" s="123" t="s">
        <v>177</v>
      </c>
      <c r="L24" s="124"/>
      <c r="M24" s="124"/>
      <c r="N24" s="125"/>
      <c r="O24" s="123" t="str">
        <f t="shared" ref="O24:O26" si="3">UPPER(K24)</f>
        <v>THE STATE IS DOING GOOD WITH INCREASED NUMBER OF TESTS</v>
      </c>
      <c r="P24" s="124"/>
      <c r="Q24" s="124"/>
      <c r="R24" s="124"/>
      <c r="S24" s="125"/>
    </row>
    <row r="25" spans="2:19" x14ac:dyDescent="0.3">
      <c r="K25" s="123" t="s">
        <v>178</v>
      </c>
      <c r="L25" s="124"/>
      <c r="M25" s="124"/>
      <c r="N25" s="125"/>
      <c r="O25" s="123" t="str">
        <f t="shared" si="3"/>
        <v>THE STATE SHOULD MOVE DOCTORS FROM DELHI TO NAGPUR</v>
      </c>
      <c r="P25" s="124"/>
      <c r="Q25" s="124"/>
      <c r="R25" s="124"/>
      <c r="S25" s="125"/>
    </row>
    <row r="26" spans="2:19" x14ac:dyDescent="0.3">
      <c r="K26" s="131" t="s">
        <v>179</v>
      </c>
      <c r="L26" s="132"/>
      <c r="M26" s="132"/>
      <c r="N26" s="133"/>
      <c r="O26" s="123" t="str">
        <f t="shared" si="3"/>
        <v>LOCK DOWN SHOULD BE IMPOSED IN AROUND 4 CITIES</v>
      </c>
      <c r="P26" s="124"/>
      <c r="Q26" s="124"/>
      <c r="R26" s="124"/>
      <c r="S26" s="125"/>
    </row>
    <row r="28" spans="2:19" x14ac:dyDescent="0.3">
      <c r="B28" s="4">
        <v>4</v>
      </c>
      <c r="D28" s="116" t="s">
        <v>180</v>
      </c>
      <c r="E28" s="116"/>
      <c r="F28" s="116"/>
      <c r="G28" s="116"/>
      <c r="H28" s="116"/>
      <c r="I28" s="116"/>
      <c r="K28" s="127" t="s">
        <v>174</v>
      </c>
      <c r="L28" s="127"/>
      <c r="M28" s="127"/>
      <c r="N28" s="127"/>
      <c r="O28" s="127"/>
      <c r="P28" s="127"/>
      <c r="Q28" s="127"/>
      <c r="R28" s="127"/>
      <c r="S28" s="127"/>
    </row>
    <row r="29" spans="2:19" x14ac:dyDescent="0.3">
      <c r="D29" s="116"/>
      <c r="E29" s="116"/>
      <c r="F29" s="116"/>
      <c r="G29" s="116"/>
      <c r="H29" s="116"/>
      <c r="I29" s="116"/>
    </row>
    <row r="30" spans="2:19" x14ac:dyDescent="0.3">
      <c r="K30" s="77" t="s">
        <v>181</v>
      </c>
      <c r="L30" s="77" t="s">
        <v>182</v>
      </c>
      <c r="M30" s="77" t="s">
        <v>183</v>
      </c>
      <c r="N30" s="77" t="s">
        <v>184</v>
      </c>
    </row>
    <row r="31" spans="2:19" x14ac:dyDescent="0.3">
      <c r="K31" s="78" t="s">
        <v>185</v>
      </c>
      <c r="L31" s="78" t="s">
        <v>186</v>
      </c>
      <c r="M31" s="78" t="s">
        <v>187</v>
      </c>
      <c r="N31" s="79" t="str">
        <f>REPLACE(K31,SEARCH(L31,K31),LEN(L31),M31)</f>
        <v>I was at the Theatre</v>
      </c>
    </row>
    <row r="32" spans="2:19" x14ac:dyDescent="0.3">
      <c r="K32" s="78" t="s">
        <v>188</v>
      </c>
      <c r="L32" s="78" t="s">
        <v>189</v>
      </c>
      <c r="M32" s="78" t="s">
        <v>190</v>
      </c>
      <c r="N32" s="79" t="str">
        <f t="shared" ref="N32:N33" si="4">REPLACE(K32,SEARCH(L32,K32),LEN(L32),M32)</f>
        <v>May 1st is Labour's day</v>
      </c>
    </row>
    <row r="33" spans="2:19" x14ac:dyDescent="0.3">
      <c r="K33" s="78" t="s">
        <v>191</v>
      </c>
      <c r="L33" s="78" t="s">
        <v>192</v>
      </c>
      <c r="M33" s="78" t="s">
        <v>193</v>
      </c>
      <c r="N33" s="79" t="str">
        <f t="shared" si="4"/>
        <v>It's my first Aeroplane journey</v>
      </c>
    </row>
    <row r="35" spans="2:19" x14ac:dyDescent="0.3">
      <c r="B35" s="4">
        <v>5</v>
      </c>
      <c r="D35" s="116" t="s">
        <v>194</v>
      </c>
      <c r="E35" s="116"/>
      <c r="F35" s="116"/>
      <c r="G35" s="116"/>
      <c r="H35" s="116"/>
      <c r="I35" s="116"/>
      <c r="K35" s="127" t="s">
        <v>174</v>
      </c>
      <c r="L35" s="127"/>
      <c r="M35" s="127"/>
      <c r="N35" s="127"/>
      <c r="O35" s="127"/>
      <c r="P35" s="127"/>
      <c r="Q35" s="127"/>
      <c r="R35" s="127"/>
      <c r="S35" s="127"/>
    </row>
    <row r="36" spans="2:19" x14ac:dyDescent="0.3">
      <c r="D36" s="116"/>
      <c r="E36" s="116"/>
      <c r="F36" s="116"/>
      <c r="G36" s="116"/>
      <c r="H36" s="116"/>
      <c r="I36" s="116"/>
      <c r="K36" s="15"/>
    </row>
    <row r="37" spans="2:19" x14ac:dyDescent="0.3">
      <c r="K37" s="74" t="s">
        <v>164</v>
      </c>
      <c r="L37" s="75"/>
      <c r="M37" s="75"/>
      <c r="N37" s="76"/>
      <c r="O37" s="80" t="s">
        <v>195</v>
      </c>
    </row>
    <row r="38" spans="2:19" x14ac:dyDescent="0.3">
      <c r="K38" s="123" t="s">
        <v>176</v>
      </c>
      <c r="L38" s="124"/>
      <c r="M38" s="124"/>
      <c r="N38" s="125"/>
      <c r="O38" s="81">
        <f>LEN(K38)</f>
        <v>47</v>
      </c>
    </row>
    <row r="39" spans="2:19" x14ac:dyDescent="0.3">
      <c r="K39" s="123" t="s">
        <v>177</v>
      </c>
      <c r="L39" s="124"/>
      <c r="M39" s="124"/>
      <c r="N39" s="125"/>
      <c r="O39" s="81">
        <f t="shared" ref="O39:O41" si="5">LEN(K39)</f>
        <v>54</v>
      </c>
    </row>
    <row r="40" spans="2:19" x14ac:dyDescent="0.3">
      <c r="K40" s="123" t="s">
        <v>178</v>
      </c>
      <c r="L40" s="124"/>
      <c r="M40" s="124"/>
      <c r="N40" s="125"/>
      <c r="O40" s="81">
        <f t="shared" si="5"/>
        <v>50</v>
      </c>
    </row>
    <row r="41" spans="2:19" x14ac:dyDescent="0.3">
      <c r="K41" s="131" t="s">
        <v>196</v>
      </c>
      <c r="L41" s="132"/>
      <c r="M41" s="132"/>
      <c r="N41" s="133"/>
      <c r="O41" s="81">
        <f t="shared" si="5"/>
        <v>47</v>
      </c>
    </row>
    <row r="43" spans="2:19" x14ac:dyDescent="0.3">
      <c r="B43" s="4">
        <v>6</v>
      </c>
      <c r="D43" s="116" t="s">
        <v>197</v>
      </c>
      <c r="E43" s="116"/>
      <c r="F43" s="116"/>
      <c r="G43" s="116"/>
      <c r="H43" s="116"/>
      <c r="I43" s="116"/>
      <c r="K43" s="120" t="s">
        <v>198</v>
      </c>
      <c r="L43" s="120"/>
    </row>
    <row r="44" spans="2:19" x14ac:dyDescent="0.3">
      <c r="D44" s="116"/>
      <c r="E44" s="116"/>
      <c r="F44" s="116"/>
      <c r="G44" s="116"/>
      <c r="H44" s="116"/>
      <c r="I44" s="116"/>
    </row>
    <row r="45" spans="2:19" x14ac:dyDescent="0.3">
      <c r="K45" s="75" t="s">
        <v>199</v>
      </c>
      <c r="L45" s="75" t="s">
        <v>200</v>
      </c>
    </row>
    <row r="46" spans="2:19" x14ac:dyDescent="0.3">
      <c r="K46" t="s">
        <v>201</v>
      </c>
      <c r="L46" t="str">
        <f>IF(ISNUMBER(SEARCH("poor",K46)),"Bad","Good")</f>
        <v>Good</v>
      </c>
    </row>
    <row r="47" spans="2:19" x14ac:dyDescent="0.3">
      <c r="K47" t="s">
        <v>202</v>
      </c>
      <c r="L47" t="str">
        <f t="shared" ref="L47:L48" si="6">IF(ISNUMBER(SEARCH("poor",K47)),"Bad","Good")</f>
        <v>Bad</v>
      </c>
    </row>
    <row r="48" spans="2:19" x14ac:dyDescent="0.3">
      <c r="K48" t="s">
        <v>203</v>
      </c>
      <c r="L48" t="str">
        <f t="shared" si="6"/>
        <v>Good</v>
      </c>
    </row>
    <row r="64" spans="8:11" x14ac:dyDescent="0.3">
      <c r="H64" s="82" t="s">
        <v>181</v>
      </c>
      <c r="I64" s="83" t="s">
        <v>182</v>
      </c>
      <c r="J64" s="83" t="s">
        <v>183</v>
      </c>
      <c r="K64" s="84" t="s">
        <v>184</v>
      </c>
    </row>
    <row r="65" spans="8:11" x14ac:dyDescent="0.3">
      <c r="H65" s="85" t="s">
        <v>185</v>
      </c>
      <c r="I65" s="78" t="s">
        <v>186</v>
      </c>
      <c r="J65" s="78" t="s">
        <v>187</v>
      </c>
      <c r="K65" s="86" t="str">
        <f>REPLACE(Table215[[#This Row],[American sentence]],SEARCH(Table215[[#This Row],[Change Word]],Table215[[#This Row],[American sentence]]),LEN(Table215[[#This Row],[Change Word]]),Table215[[#This Row],[Replace with]])</f>
        <v>I was at the Theatre</v>
      </c>
    </row>
    <row r="66" spans="8:11" x14ac:dyDescent="0.3">
      <c r="H66" s="85" t="s">
        <v>188</v>
      </c>
      <c r="I66" s="78" t="s">
        <v>189</v>
      </c>
      <c r="J66" s="78" t="s">
        <v>190</v>
      </c>
      <c r="K66" s="86" t="str">
        <f>REPLACE(Table215[[#This Row],[American sentence]],SEARCH(Table215[[#This Row],[Change Word]],Table215[[#This Row],[American sentence]]),LEN(Table215[[#This Row],[Change Word]]),Table215[[#This Row],[Replace with]])</f>
        <v>May 1st is Labour's day</v>
      </c>
    </row>
    <row r="67" spans="8:11" ht="28.8" x14ac:dyDescent="0.3">
      <c r="H67" s="87" t="s">
        <v>191</v>
      </c>
      <c r="I67" s="88" t="s">
        <v>192</v>
      </c>
      <c r="J67" s="88" t="s">
        <v>193</v>
      </c>
      <c r="K67" s="89" t="str">
        <f>REPLACE(Table215[[#This Row],[American sentence]],SEARCH(Table215[[#This Row],[Change Word]],Table215[[#This Row],[American sentence]]),LEN(Table215[[#This Row],[Change Word]]),Table215[[#This Row],[Replace with]])</f>
        <v>It's my first Aeroplane journey</v>
      </c>
    </row>
  </sheetData>
  <mergeCells count="25">
    <mergeCell ref="K38:N38"/>
    <mergeCell ref="K39:N39"/>
    <mergeCell ref="K40:N40"/>
    <mergeCell ref="K41:N41"/>
    <mergeCell ref="D43:I44"/>
    <mergeCell ref="K43:L43"/>
    <mergeCell ref="K26:N26"/>
    <mergeCell ref="O26:S26"/>
    <mergeCell ref="D28:I29"/>
    <mergeCell ref="K28:S28"/>
    <mergeCell ref="D35:I36"/>
    <mergeCell ref="K35:S35"/>
    <mergeCell ref="K25:N25"/>
    <mergeCell ref="O25:S25"/>
    <mergeCell ref="K3:O4"/>
    <mergeCell ref="D4:I5"/>
    <mergeCell ref="D13:I14"/>
    <mergeCell ref="K13:O13"/>
    <mergeCell ref="D20:I21"/>
    <mergeCell ref="K20:S20"/>
    <mergeCell ref="O22:S22"/>
    <mergeCell ref="K23:N23"/>
    <mergeCell ref="O23:S23"/>
    <mergeCell ref="K24:N24"/>
    <mergeCell ref="O24:S2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A02D-91F9-4973-9D75-FE88FD2EA79F}">
  <dimension ref="B2:O19"/>
  <sheetViews>
    <sheetView showGridLines="0" workbookViewId="0">
      <selection activeCell="J21" sqref="J21"/>
    </sheetView>
  </sheetViews>
  <sheetFormatPr defaultRowHeight="14.4" x14ac:dyDescent="0.3"/>
  <cols>
    <col min="1" max="1" width="8.109375" customWidth="1"/>
    <col min="2" max="2" width="17" bestFit="1" customWidth="1"/>
    <col min="3" max="3" width="3" style="2" customWidth="1"/>
    <col min="4" max="4" width="10.6640625" customWidth="1"/>
    <col min="6" max="6" width="12" bestFit="1" customWidth="1"/>
    <col min="7" max="9" width="12" customWidth="1"/>
    <col min="10" max="10" width="17" bestFit="1" customWidth="1"/>
    <col min="11" max="11" width="43.6640625" bestFit="1" customWidth="1"/>
    <col min="12" max="12" width="10.33203125" bestFit="1" customWidth="1"/>
    <col min="13" max="13" width="12.109375" bestFit="1" customWidth="1"/>
    <col min="14" max="14" width="14" bestFit="1" customWidth="1"/>
    <col min="15" max="15" width="11.5546875" bestFit="1" customWidth="1"/>
  </cols>
  <sheetData>
    <row r="2" spans="2:15" ht="18" x14ac:dyDescent="0.35">
      <c r="B2" s="1" t="s">
        <v>204</v>
      </c>
      <c r="E2" s="3"/>
    </row>
    <row r="4" spans="2:15" x14ac:dyDescent="0.3">
      <c r="B4" s="4">
        <v>1</v>
      </c>
      <c r="D4" s="116" t="s">
        <v>205</v>
      </c>
      <c r="E4" s="116"/>
      <c r="F4" s="116"/>
      <c r="G4" s="116"/>
      <c r="H4" s="116"/>
      <c r="I4" s="116"/>
      <c r="K4" s="10" t="s">
        <v>206</v>
      </c>
      <c r="M4" s="90" t="s">
        <v>207</v>
      </c>
      <c r="N4" s="90" t="s">
        <v>208</v>
      </c>
      <c r="O4" s="90" t="s">
        <v>209</v>
      </c>
    </row>
    <row r="5" spans="2:15" x14ac:dyDescent="0.3">
      <c r="D5" s="116"/>
      <c r="E5" s="116"/>
      <c r="F5" s="116"/>
      <c r="G5" s="116"/>
      <c r="H5" s="116"/>
      <c r="I5" s="116"/>
      <c r="K5" s="91">
        <v>17394</v>
      </c>
      <c r="M5" s="8">
        <f ca="1">DATEDIF(K5,TODAY(),"Y")</f>
        <v>76</v>
      </c>
      <c r="N5" s="8">
        <f ca="1">DATEDIF(K5,TODAY(),"m")</f>
        <v>913</v>
      </c>
      <c r="O5" s="8">
        <f ca="1">DATEDIF(K5,TODAY(),"D")</f>
        <v>27815</v>
      </c>
    </row>
    <row r="7" spans="2:15" x14ac:dyDescent="0.3">
      <c r="B7" s="4">
        <v>2</v>
      </c>
      <c r="D7" s="116" t="s">
        <v>210</v>
      </c>
      <c r="E7" s="116"/>
      <c r="F7" s="116"/>
      <c r="G7" s="116"/>
      <c r="H7" s="116"/>
      <c r="I7" s="116"/>
      <c r="K7" s="120" t="s">
        <v>211</v>
      </c>
      <c r="L7" s="120"/>
      <c r="M7" s="120"/>
    </row>
    <row r="8" spans="2:15" x14ac:dyDescent="0.3">
      <c r="D8" s="116"/>
      <c r="E8" s="116"/>
      <c r="F8" s="116"/>
      <c r="G8" s="116"/>
      <c r="H8" s="116"/>
      <c r="I8" s="116"/>
    </row>
    <row r="9" spans="2:15" x14ac:dyDescent="0.3">
      <c r="K9" s="62" t="s">
        <v>212</v>
      </c>
      <c r="L9" s="62" t="s">
        <v>213</v>
      </c>
      <c r="M9" s="62" t="s">
        <v>214</v>
      </c>
    </row>
    <row r="10" spans="2:15" x14ac:dyDescent="0.3">
      <c r="K10" s="73" t="s">
        <v>215</v>
      </c>
      <c r="L10" s="92">
        <f>+DATEVALUE($K$10:$K$13)</f>
        <v>1</v>
      </c>
      <c r="M10" s="8" t="str">
        <f>TEXT($L$10:$L$13,"d/m/yyyy")</f>
        <v>1/1/1900</v>
      </c>
    </row>
    <row r="11" spans="2:15" x14ac:dyDescent="0.3">
      <c r="K11" s="73" t="s">
        <v>216</v>
      </c>
      <c r="L11" s="92">
        <f t="shared" ref="L11:L13" si="0">+DATEVALUE($K$10:$K$13)</f>
        <v>32</v>
      </c>
      <c r="M11" s="8" t="str">
        <f t="shared" ref="M11:M13" si="1">TEXT($L$10:$L$13,"d/m/yyyy")</f>
        <v>1/2/1900</v>
      </c>
    </row>
    <row r="12" spans="2:15" x14ac:dyDescent="0.3">
      <c r="F12" s="93"/>
      <c r="K12" s="73" t="s">
        <v>217</v>
      </c>
      <c r="L12" s="92">
        <f t="shared" si="0"/>
        <v>61</v>
      </c>
      <c r="M12" s="8" t="str">
        <f t="shared" si="1"/>
        <v>1/3/1900</v>
      </c>
    </row>
    <row r="13" spans="2:15" x14ac:dyDescent="0.3">
      <c r="J13" t="s">
        <v>273</v>
      </c>
      <c r="K13" s="73" t="s">
        <v>274</v>
      </c>
      <c r="L13" s="92">
        <f t="shared" si="0"/>
        <v>43869</v>
      </c>
      <c r="M13" s="8" t="str">
        <f t="shared" si="1"/>
        <v>8/2/2020</v>
      </c>
    </row>
    <row r="15" spans="2:15" x14ac:dyDescent="0.3">
      <c r="B15" s="4">
        <v>3</v>
      </c>
      <c r="D15" s="116" t="s">
        <v>218</v>
      </c>
      <c r="E15" s="116"/>
      <c r="F15" s="116"/>
      <c r="G15" s="116"/>
      <c r="H15" s="116"/>
      <c r="I15" s="116"/>
      <c r="K15" s="94" t="s">
        <v>219</v>
      </c>
    </row>
    <row r="16" spans="2:15" x14ac:dyDescent="0.3">
      <c r="D16" s="116"/>
      <c r="E16" s="116"/>
      <c r="F16" s="116"/>
      <c r="G16" s="116"/>
      <c r="H16" s="116"/>
      <c r="I16" s="116"/>
      <c r="K16" s="8">
        <f ca="1">DAY(EOMONTH(TODAY(),0))</f>
        <v>31</v>
      </c>
      <c r="L16" s="95"/>
    </row>
    <row r="18" spans="2:12" x14ac:dyDescent="0.3">
      <c r="B18" s="4">
        <v>4</v>
      </c>
      <c r="D18" s="116" t="s">
        <v>220</v>
      </c>
      <c r="E18" s="116"/>
      <c r="F18" s="116"/>
      <c r="G18" s="116"/>
      <c r="H18" s="116"/>
      <c r="I18" s="116"/>
      <c r="K18" s="95" t="s">
        <v>221</v>
      </c>
      <c r="L18" s="95"/>
    </row>
    <row r="19" spans="2:12" x14ac:dyDescent="0.3">
      <c r="D19" s="116"/>
      <c r="E19" s="116"/>
      <c r="F19" s="116"/>
      <c r="G19" s="116"/>
      <c r="H19" s="116"/>
      <c r="I19" s="116"/>
      <c r="K19" s="92">
        <f ca="1">DATE(YEAR(TODAY())+46,MONTH(TODAY())+3,DAY(TODAY())+3)</f>
        <v>62106</v>
      </c>
    </row>
  </sheetData>
  <mergeCells count="5">
    <mergeCell ref="D4:I5"/>
    <mergeCell ref="D7:I8"/>
    <mergeCell ref="K7:M7"/>
    <mergeCell ref="D15:I16"/>
    <mergeCell ref="D18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72A0-7069-49FE-ADC4-0AA4237882AE}">
  <dimension ref="B2:N11"/>
  <sheetViews>
    <sheetView showGridLines="0" zoomScaleNormal="100" workbookViewId="0">
      <selection activeCell="L16" sqref="L16"/>
    </sheetView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0.6640625" customWidth="1"/>
    <col min="6" max="6" width="12" bestFit="1" customWidth="1"/>
    <col min="7" max="9" width="12" customWidth="1"/>
    <col min="11" max="11" width="15" bestFit="1" customWidth="1"/>
    <col min="12" max="12" width="14.44140625" bestFit="1" customWidth="1"/>
  </cols>
  <sheetData>
    <row r="2" spans="2:14" ht="18" x14ac:dyDescent="0.35">
      <c r="B2" s="1" t="s">
        <v>222</v>
      </c>
      <c r="E2" s="3"/>
    </row>
    <row r="4" spans="2:14" x14ac:dyDescent="0.3">
      <c r="B4" s="4">
        <v>1</v>
      </c>
      <c r="D4" s="116" t="s">
        <v>223</v>
      </c>
      <c r="E4" s="116"/>
      <c r="F4" s="116"/>
      <c r="G4" s="116"/>
      <c r="H4" s="116"/>
      <c r="I4" s="116"/>
      <c r="K4" s="75" t="s">
        <v>224</v>
      </c>
      <c r="L4" s="75" t="s">
        <v>225</v>
      </c>
    </row>
    <row r="5" spans="2:14" x14ac:dyDescent="0.3">
      <c r="D5" s="116"/>
      <c r="E5" s="116"/>
      <c r="F5" s="116"/>
      <c r="G5" s="116"/>
      <c r="H5" s="116"/>
      <c r="I5" s="116"/>
      <c r="K5" t="s">
        <v>226</v>
      </c>
      <c r="L5">
        <f>_xlfn.ARABIC(K5)</f>
        <v>14</v>
      </c>
    </row>
    <row r="6" spans="2:14" x14ac:dyDescent="0.3">
      <c r="K6" t="s">
        <v>227</v>
      </c>
      <c r="L6">
        <f t="shared" ref="L6:L7" si="0">_xlfn.ARABIC(K6)</f>
        <v>50</v>
      </c>
    </row>
    <row r="7" spans="2:14" x14ac:dyDescent="0.3">
      <c r="K7" t="s">
        <v>228</v>
      </c>
      <c r="L7">
        <f t="shared" si="0"/>
        <v>15</v>
      </c>
    </row>
    <row r="9" spans="2:14" x14ac:dyDescent="0.3">
      <c r="B9" s="4">
        <v>2</v>
      </c>
      <c r="D9" s="116" t="s">
        <v>269</v>
      </c>
      <c r="E9" s="116"/>
      <c r="F9" s="116"/>
      <c r="G9" s="116"/>
      <c r="H9" s="116"/>
      <c r="I9" s="116"/>
      <c r="K9" s="75" t="s">
        <v>229</v>
      </c>
      <c r="L9" s="75" t="s">
        <v>230</v>
      </c>
      <c r="M9" s="75" t="s">
        <v>231</v>
      </c>
      <c r="N9" s="75" t="s">
        <v>232</v>
      </c>
    </row>
    <row r="10" spans="2:14" x14ac:dyDescent="0.3">
      <c r="D10" s="116"/>
      <c r="E10" s="116"/>
      <c r="F10" s="116"/>
      <c r="G10" s="116"/>
      <c r="H10" s="116"/>
      <c r="I10" s="116"/>
      <c r="K10">
        <v>5.3467000000000002</v>
      </c>
      <c r="L10">
        <v>2</v>
      </c>
      <c r="M10">
        <f>ROUND(K10,L10)</f>
        <v>5.35</v>
      </c>
      <c r="N10">
        <f>TRUNC(K10,L10)</f>
        <v>5.34</v>
      </c>
    </row>
    <row r="11" spans="2:14" x14ac:dyDescent="0.3">
      <c r="K11">
        <v>6.7895300000000001</v>
      </c>
      <c r="L11">
        <v>3</v>
      </c>
      <c r="M11">
        <f>ROUND(K11,L11)</f>
        <v>6.79</v>
      </c>
      <c r="N11">
        <f>TRUNC(K11,L11)</f>
        <v>6.7889999999999997</v>
      </c>
    </row>
  </sheetData>
  <mergeCells count="2">
    <mergeCell ref="D4:I5"/>
    <mergeCell ref="D9:I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2D66-4A31-48AB-ACED-E2051E983F7A}">
  <dimension ref="B2:S25"/>
  <sheetViews>
    <sheetView showGridLines="0" zoomScaleNormal="100" workbookViewId="0">
      <selection activeCell="S21" sqref="S21"/>
    </sheetView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4.5546875" bestFit="1" customWidth="1"/>
    <col min="6" max="6" width="12" bestFit="1" customWidth="1"/>
    <col min="7" max="9" width="12" customWidth="1"/>
    <col min="10" max="10" width="14.5546875" customWidth="1"/>
    <col min="11" max="11" width="11.109375" bestFit="1" customWidth="1"/>
    <col min="12" max="12" width="11.33203125" customWidth="1"/>
    <col min="13" max="13" width="7.5546875" bestFit="1" customWidth="1"/>
    <col min="14" max="15" width="11.109375" bestFit="1" customWidth="1"/>
    <col min="16" max="16" width="7.5546875" bestFit="1" customWidth="1"/>
    <col min="17" max="17" width="10.44140625" bestFit="1" customWidth="1"/>
    <col min="18" max="18" width="11.109375" bestFit="1" customWidth="1"/>
    <col min="19" max="19" width="15" customWidth="1"/>
    <col min="21" max="21" width="5.88671875" bestFit="1" customWidth="1"/>
    <col min="22" max="22" width="10.6640625" bestFit="1" customWidth="1"/>
  </cols>
  <sheetData>
    <row r="2" spans="2:19" ht="18" x14ac:dyDescent="0.35">
      <c r="B2" s="1" t="s">
        <v>233</v>
      </c>
      <c r="E2" s="3"/>
    </row>
    <row r="4" spans="2:19" x14ac:dyDescent="0.3">
      <c r="B4" s="4">
        <v>1</v>
      </c>
      <c r="D4" s="116" t="s">
        <v>234</v>
      </c>
      <c r="E4" s="116"/>
      <c r="F4" s="116"/>
      <c r="G4" s="116"/>
      <c r="H4" s="116"/>
      <c r="I4" s="116"/>
    </row>
    <row r="5" spans="2:19" x14ac:dyDescent="0.3">
      <c r="D5" s="116"/>
      <c r="E5" s="116"/>
      <c r="F5" s="116"/>
      <c r="G5" s="116"/>
      <c r="H5" s="116"/>
      <c r="I5" s="116"/>
    </row>
    <row r="7" spans="2:19" x14ac:dyDescent="0.3">
      <c r="D7" s="75" t="s">
        <v>235</v>
      </c>
      <c r="E7" s="75" t="s">
        <v>236</v>
      </c>
      <c r="H7" s="134" t="s">
        <v>237</v>
      </c>
      <c r="I7" s="135"/>
      <c r="J7" s="96"/>
      <c r="K7" s="136" t="s">
        <v>238</v>
      </c>
      <c r="L7" s="137"/>
      <c r="M7" s="138"/>
      <c r="N7" s="139" t="s">
        <v>239</v>
      </c>
      <c r="O7" s="140"/>
      <c r="P7" s="141"/>
    </row>
    <row r="8" spans="2:19" x14ac:dyDescent="0.3">
      <c r="D8" t="s">
        <v>240</v>
      </c>
      <c r="E8">
        <v>5</v>
      </c>
      <c r="G8" s="30" t="s">
        <v>241</v>
      </c>
      <c r="H8" s="97" t="s">
        <v>235</v>
      </c>
      <c r="I8" s="97" t="s">
        <v>236</v>
      </c>
      <c r="J8" s="97" t="s">
        <v>242</v>
      </c>
      <c r="K8" s="97" t="s">
        <v>235</v>
      </c>
      <c r="L8" s="97" t="s">
        <v>236</v>
      </c>
      <c r="M8" s="97" t="s">
        <v>242</v>
      </c>
      <c r="N8" s="97" t="s">
        <v>235</v>
      </c>
      <c r="O8" s="97" t="s">
        <v>236</v>
      </c>
      <c r="P8" s="97" t="s">
        <v>242</v>
      </c>
      <c r="Q8" s="98" t="s">
        <v>243</v>
      </c>
      <c r="R8" s="99" t="s">
        <v>244</v>
      </c>
      <c r="S8" s="99" t="s">
        <v>245</v>
      </c>
    </row>
    <row r="9" spans="2:19" x14ac:dyDescent="0.3">
      <c r="D9" t="s">
        <v>246</v>
      </c>
      <c r="E9">
        <v>4.5</v>
      </c>
      <c r="G9" s="100" t="s">
        <v>247</v>
      </c>
      <c r="H9" s="100" t="s">
        <v>240</v>
      </c>
      <c r="I9" s="8">
        <f>VLOOKUP(H9,ScoringFramework[],2,FALSE)</f>
        <v>5</v>
      </c>
      <c r="J9" s="101">
        <v>0.5</v>
      </c>
      <c r="K9" s="100" t="s">
        <v>248</v>
      </c>
      <c r="L9" s="8">
        <f>VLOOKUP(K9,ScoringFramework[],2,FALSE)</f>
        <v>4</v>
      </c>
      <c r="M9" s="101">
        <v>0.35</v>
      </c>
      <c r="N9" s="100" t="s">
        <v>240</v>
      </c>
      <c r="O9" s="8">
        <f>VLOOKUP(N9,ScoringFramework[],2,FALSE)</f>
        <v>5</v>
      </c>
      <c r="P9" s="101">
        <v>0.15</v>
      </c>
      <c r="Q9" s="8">
        <f>SUM(I9*J9,L9*M9,O9*P9)</f>
        <v>4.6500000000000004</v>
      </c>
      <c r="R9" s="100">
        <v>5</v>
      </c>
      <c r="S9" s="100">
        <f>Q9/R9*100</f>
        <v>93</v>
      </c>
    </row>
    <row r="10" spans="2:19" x14ac:dyDescent="0.3">
      <c r="D10" t="s">
        <v>248</v>
      </c>
      <c r="E10">
        <v>4</v>
      </c>
      <c r="G10" s="100" t="s">
        <v>249</v>
      </c>
      <c r="H10" s="100" t="s">
        <v>246</v>
      </c>
      <c r="I10" s="8">
        <f>VLOOKUP(H10,ScoringFramework[],2,FALSE)</f>
        <v>4.5</v>
      </c>
      <c r="J10" s="101">
        <v>0.5</v>
      </c>
      <c r="K10" s="100" t="s">
        <v>240</v>
      </c>
      <c r="L10" s="8">
        <f>VLOOKUP(K10,ScoringFramework[],2,FALSE)</f>
        <v>5</v>
      </c>
      <c r="M10" s="101">
        <v>0.35</v>
      </c>
      <c r="N10" s="100" t="s">
        <v>246</v>
      </c>
      <c r="O10" s="8">
        <f>VLOOKUP(N10,ScoringFramework[],2,FALSE)</f>
        <v>4.5</v>
      </c>
      <c r="P10" s="101">
        <v>0.15</v>
      </c>
      <c r="Q10" s="8">
        <f t="shared" ref="Q10:Q12" si="0">SUM(I10*J10,L10*M10,O10*P10)</f>
        <v>4.6749999999999998</v>
      </c>
      <c r="R10" s="100">
        <v>5</v>
      </c>
      <c r="S10" s="100">
        <f t="shared" ref="S10:S12" si="1">Q10/R10*100</f>
        <v>93.5</v>
      </c>
    </row>
    <row r="11" spans="2:19" x14ac:dyDescent="0.3">
      <c r="D11" t="s">
        <v>250</v>
      </c>
      <c r="E11">
        <v>3</v>
      </c>
      <c r="G11" s="100" t="s">
        <v>251</v>
      </c>
      <c r="H11" s="100" t="s">
        <v>252</v>
      </c>
      <c r="I11" s="8">
        <f>VLOOKUP(H11,ScoringFramework[],2,FALSE)</f>
        <v>2</v>
      </c>
      <c r="J11" s="101">
        <v>0.5</v>
      </c>
      <c r="K11" s="100" t="s">
        <v>253</v>
      </c>
      <c r="L11" s="8">
        <f>VLOOKUP(K11,ScoringFramework[],2,FALSE)</f>
        <v>1</v>
      </c>
      <c r="M11" s="101">
        <v>0.35</v>
      </c>
      <c r="N11" s="100" t="s">
        <v>248</v>
      </c>
      <c r="O11" s="8">
        <f>VLOOKUP(N11,ScoringFramework[],2,FALSE)</f>
        <v>4</v>
      </c>
      <c r="P11" s="101">
        <v>0.15</v>
      </c>
      <c r="Q11" s="8">
        <f t="shared" si="0"/>
        <v>1.9500000000000002</v>
      </c>
      <c r="R11" s="100">
        <v>5</v>
      </c>
      <c r="S11" s="100">
        <f t="shared" si="1"/>
        <v>39</v>
      </c>
    </row>
    <row r="12" spans="2:19" x14ac:dyDescent="0.3">
      <c r="D12" t="s">
        <v>252</v>
      </c>
      <c r="E12">
        <v>2</v>
      </c>
      <c r="G12" s="100" t="s">
        <v>254</v>
      </c>
      <c r="H12" s="100" t="s">
        <v>253</v>
      </c>
      <c r="I12" s="8">
        <f>VLOOKUP(H12,ScoringFramework[],2,FALSE)</f>
        <v>1</v>
      </c>
      <c r="J12" s="101">
        <v>0.5</v>
      </c>
      <c r="K12" s="100" t="s">
        <v>246</v>
      </c>
      <c r="L12" s="8">
        <f>VLOOKUP(K12,ScoringFramework[],2,FALSE)</f>
        <v>4.5</v>
      </c>
      <c r="M12" s="101">
        <v>0.35</v>
      </c>
      <c r="N12" s="100" t="s">
        <v>253</v>
      </c>
      <c r="O12" s="8">
        <f>VLOOKUP(N12,ScoringFramework[],2,FALSE)</f>
        <v>1</v>
      </c>
      <c r="P12" s="101">
        <v>0.15</v>
      </c>
      <c r="Q12" s="8">
        <f t="shared" si="0"/>
        <v>2.2250000000000001</v>
      </c>
      <c r="R12" s="100">
        <v>5</v>
      </c>
      <c r="S12" s="100">
        <f t="shared" si="1"/>
        <v>44.5</v>
      </c>
    </row>
    <row r="13" spans="2:19" x14ac:dyDescent="0.3">
      <c r="D13" t="s">
        <v>253</v>
      </c>
      <c r="E13">
        <v>1</v>
      </c>
    </row>
    <row r="15" spans="2:19" x14ac:dyDescent="0.3">
      <c r="D15" t="s">
        <v>255</v>
      </c>
    </row>
    <row r="19" spans="2:18" x14ac:dyDescent="0.3">
      <c r="B19" s="4">
        <v>2</v>
      </c>
      <c r="D19" s="116" t="s">
        <v>256</v>
      </c>
      <c r="E19" s="116"/>
      <c r="F19" s="116"/>
      <c r="G19" s="116"/>
      <c r="H19" s="116"/>
      <c r="I19" s="116"/>
      <c r="K19" s="120" t="s">
        <v>257</v>
      </c>
      <c r="L19" s="120"/>
      <c r="M19" s="120"/>
      <c r="N19" s="120"/>
      <c r="P19" s="120" t="s">
        <v>258</v>
      </c>
      <c r="Q19" s="120"/>
      <c r="R19" s="120"/>
    </row>
    <row r="20" spans="2:18" x14ac:dyDescent="0.3">
      <c r="D20" s="116"/>
      <c r="E20" s="116"/>
      <c r="F20" s="116"/>
      <c r="G20" s="116"/>
      <c r="H20" s="116"/>
      <c r="I20" s="116"/>
    </row>
    <row r="21" spans="2:18" x14ac:dyDescent="0.3">
      <c r="K21" s="27" t="s">
        <v>259</v>
      </c>
      <c r="L21" s="102" t="s">
        <v>260</v>
      </c>
      <c r="M21" s="102" t="s">
        <v>261</v>
      </c>
      <c r="N21" s="29" t="s">
        <v>262</v>
      </c>
      <c r="P21" s="27" t="s">
        <v>263</v>
      </c>
      <c r="Q21" s="29" t="s">
        <v>264</v>
      </c>
    </row>
    <row r="22" spans="2:18" x14ac:dyDescent="0.3">
      <c r="K22" s="32" t="s">
        <v>265</v>
      </c>
      <c r="L22" s="81">
        <v>183</v>
      </c>
      <c r="M22" s="81">
        <v>192</v>
      </c>
      <c r="N22" s="33">
        <v>216</v>
      </c>
      <c r="P22" s="32" t="s">
        <v>260</v>
      </c>
      <c r="Q22" s="33">
        <f>HLOOKUP(P22,$K$21:$N$25,2,FALSE)</f>
        <v>183</v>
      </c>
    </row>
    <row r="23" spans="2:18" x14ac:dyDescent="0.3">
      <c r="K23" s="32" t="s">
        <v>266</v>
      </c>
      <c r="L23" s="81">
        <v>172</v>
      </c>
      <c r="M23" s="81">
        <v>235</v>
      </c>
      <c r="N23" s="33">
        <v>336</v>
      </c>
      <c r="P23" s="32" t="s">
        <v>261</v>
      </c>
      <c r="Q23" s="33">
        <f t="shared" ref="Q23:Q24" si="2">HLOOKUP(P23,$K$21:$N$25,2,FALSE)</f>
        <v>192</v>
      </c>
    </row>
    <row r="24" spans="2:18" x14ac:dyDescent="0.3">
      <c r="K24" s="32" t="s">
        <v>267</v>
      </c>
      <c r="L24" s="81">
        <v>123</v>
      </c>
      <c r="M24" s="81">
        <v>114</v>
      </c>
      <c r="N24" s="33">
        <v>91</v>
      </c>
      <c r="P24" s="36" t="s">
        <v>262</v>
      </c>
      <c r="Q24" s="33">
        <f t="shared" si="2"/>
        <v>216</v>
      </c>
    </row>
    <row r="25" spans="2:18" x14ac:dyDescent="0.3">
      <c r="K25" s="36" t="s">
        <v>268</v>
      </c>
      <c r="L25" s="103">
        <v>112</v>
      </c>
      <c r="M25" s="103">
        <v>125</v>
      </c>
      <c r="N25" s="38">
        <v>89</v>
      </c>
    </row>
  </sheetData>
  <mergeCells count="7">
    <mergeCell ref="D4:I5"/>
    <mergeCell ref="H7:I7"/>
    <mergeCell ref="K7:M7"/>
    <mergeCell ref="N7:P7"/>
    <mergeCell ref="D19:I20"/>
    <mergeCell ref="K19:N19"/>
    <mergeCell ref="P19:R19"/>
  </mergeCells>
  <dataValidations count="1">
    <dataValidation type="list" allowBlank="1" showInputMessage="1" showErrorMessage="1" sqref="H9:H12" xr:uid="{651177E1-30D5-4A28-ACF5-A3173C7A3A2C}">
      <formula1>$D$8:$D$13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Basics</vt:lpstr>
      <vt:lpstr>Excel Formulas</vt:lpstr>
      <vt:lpstr>Basic</vt:lpstr>
      <vt:lpstr>Text</vt:lpstr>
      <vt:lpstr>Date</vt:lpstr>
      <vt:lpstr>Formatting</vt:lpstr>
      <vt:lpstr>Lookups &amp;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Zunera Fathima</dc:creator>
  <cp:lastModifiedBy>Shyam Kamasani</cp:lastModifiedBy>
  <dcterms:created xsi:type="dcterms:W3CDTF">2023-07-20T11:08:29Z</dcterms:created>
  <dcterms:modified xsi:type="dcterms:W3CDTF">2023-10-10T14:09:53Z</dcterms:modified>
</cp:coreProperties>
</file>