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d\Downloads\"/>
    </mc:Choice>
  </mc:AlternateContent>
  <xr:revisionPtr revIDLastSave="0" documentId="13_ncr:1_{E1D47831-6531-47F4-8866-5A6B2899D01B}" xr6:coauthVersionLast="47" xr6:coauthVersionMax="47" xr10:uidLastSave="{00000000-0000-0000-0000-000000000000}"/>
  <bookViews>
    <workbookView xWindow="-110" yWindow="-110" windowWidth="19420" windowHeight="10420" activeTab="1" xr2:uid="{51EBF354-E06C-4200-AE17-5C1FA478898C}"/>
  </bookViews>
  <sheets>
    <sheet name="1.A good format" sheetId="1" r:id="rId1"/>
    <sheet name="2. Built in tables" sheetId="2" r:id="rId2"/>
    <sheet name="3. Data Validations" sheetId="4" r:id="rId3"/>
    <sheet name="4. IF-AND-OR" sheetId="7" r:id="rId4"/>
    <sheet name="Fabric report Pivot" sheetId="9" r:id="rId5"/>
    <sheet name="Timeline with Pivot" sheetId="11" r:id="rId6"/>
    <sheet name="lead time Summary" sheetId="12" r:id="rId7"/>
    <sheet name="data validation" sheetId="6" r:id="rId8"/>
  </sheets>
  <definedNames>
    <definedName name="_xlnm._FilterDatabase" localSheetId="0" hidden="1">'1.A good format'!$B$13:$M$13</definedName>
    <definedName name="_xlnm._FilterDatabase" localSheetId="1" hidden="1">'2. Built in tables'!$B$3:$K$3</definedName>
    <definedName name="_xlnm._FilterDatabase" localSheetId="2" hidden="1">'3. Data Validations'!$B$3:$M$3</definedName>
    <definedName name="_xlnm._FilterDatabase" localSheetId="3" hidden="1">'4. IF-AND-OR'!$B$3:$U$3</definedName>
    <definedName name="NativeTimeline_Planned_Cutting_Date__PCD">#N/A</definedName>
    <definedName name="NativeTimeline_Planned_Cutting_Date__PCD1">#N/A</definedName>
  </definedNames>
  <calcPr calcId="191029"/>
  <pivotCaches>
    <pivotCache cacheId="0" r:id="rId9"/>
    <pivotCache cacheId="3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4" i="7"/>
  <c r="N4" i="4"/>
  <c r="N5" i="4"/>
  <c r="N6" i="4"/>
  <c r="N7" i="4"/>
  <c r="N8" i="4"/>
  <c r="U4" i="2"/>
  <c r="O4" i="2"/>
  <c r="O5" i="2"/>
  <c r="O6" i="2"/>
  <c r="O7" i="2"/>
  <c r="O8" i="2"/>
  <c r="G9" i="2"/>
  <c r="Q9" i="2"/>
  <c r="N4" i="7"/>
  <c r="N5" i="7"/>
  <c r="O5" i="7" s="1"/>
  <c r="T5" i="7" s="1"/>
  <c r="N6" i="7"/>
  <c r="O6" i="7" s="1"/>
  <c r="T6" i="7" s="1"/>
  <c r="N7" i="7"/>
  <c r="O7" i="7" s="1"/>
  <c r="T7" i="7" s="1"/>
  <c r="N8" i="7"/>
  <c r="O8" i="7" s="1"/>
  <c r="T8" i="7" s="1"/>
  <c r="N9" i="7"/>
  <c r="O9" i="7" s="1"/>
  <c r="T9" i="7" s="1"/>
  <c r="N10" i="7"/>
  <c r="O10" i="7" s="1"/>
  <c r="T10" i="7" s="1"/>
  <c r="N11" i="7"/>
  <c r="O11" i="7" s="1"/>
  <c r="T11" i="7" s="1"/>
  <c r="N12" i="7"/>
  <c r="O12" i="7" s="1"/>
  <c r="T12" i="7" s="1"/>
  <c r="N13" i="7"/>
  <c r="O13" i="7" s="1"/>
  <c r="T13" i="7" s="1"/>
  <c r="N14" i="7"/>
  <c r="O14" i="7" s="1"/>
  <c r="T14" i="7" s="1"/>
  <c r="N15" i="7"/>
  <c r="O15" i="7" s="1"/>
  <c r="T15" i="7" s="1"/>
  <c r="N16" i="7"/>
  <c r="O16" i="7" s="1"/>
  <c r="T16" i="7" s="1"/>
  <c r="N17" i="7"/>
  <c r="O17" i="7" s="1"/>
  <c r="T17" i="7" s="1"/>
  <c r="N18" i="7"/>
  <c r="O18" i="7" s="1"/>
  <c r="T18" i="7" s="1"/>
  <c r="N19" i="7"/>
  <c r="O19" i="7" s="1"/>
  <c r="T19" i="7" s="1"/>
  <c r="N20" i="7"/>
  <c r="O20" i="7" s="1"/>
  <c r="T20" i="7" s="1"/>
  <c r="N21" i="7"/>
  <c r="O21" i="7" s="1"/>
  <c r="T21" i="7" s="1"/>
  <c r="L21" i="7"/>
  <c r="AA21" i="7" s="1"/>
  <c r="AE21" i="7"/>
  <c r="L10" i="7"/>
  <c r="AA10" i="7" s="1"/>
  <c r="L11" i="7"/>
  <c r="AA11" i="7" s="1"/>
  <c r="L12" i="7"/>
  <c r="AA12" i="7" s="1"/>
  <c r="L13" i="7"/>
  <c r="AA13" i="7" s="1"/>
  <c r="L14" i="7"/>
  <c r="AA14" i="7" s="1"/>
  <c r="L15" i="7"/>
  <c r="AA15" i="7" s="1"/>
  <c r="L16" i="7"/>
  <c r="AA16" i="7" s="1"/>
  <c r="L17" i="7"/>
  <c r="AA17" i="7" s="1"/>
  <c r="L18" i="7"/>
  <c r="AA18" i="7" s="1"/>
  <c r="L19" i="7"/>
  <c r="AA19" i="7" s="1"/>
  <c r="L20" i="7"/>
  <c r="AA20" i="7" s="1"/>
  <c r="L9" i="7"/>
  <c r="AA9" i="7" s="1"/>
  <c r="L8" i="7"/>
  <c r="AA8" i="7" s="1"/>
  <c r="L5" i="7"/>
  <c r="AA5" i="7" s="1"/>
  <c r="L6" i="7"/>
  <c r="AA6" i="7" s="1"/>
  <c r="L7" i="7"/>
  <c r="AA7" i="7" s="1"/>
  <c r="L4" i="7"/>
  <c r="AA4" i="7" s="1"/>
  <c r="AE10" i="7"/>
  <c r="AE11" i="7"/>
  <c r="AE12" i="7"/>
  <c r="AE13" i="7"/>
  <c r="AE14" i="7"/>
  <c r="AE15" i="7"/>
  <c r="AE16" i="7"/>
  <c r="AE17" i="7"/>
  <c r="AE18" i="7"/>
  <c r="AE19" i="7"/>
  <c r="AE20" i="7"/>
  <c r="AE8" i="7"/>
  <c r="AE9" i="7"/>
  <c r="AE7" i="7"/>
  <c r="AE6" i="7"/>
  <c r="AE5" i="7"/>
  <c r="AE4" i="7"/>
  <c r="T4" i="4"/>
  <c r="T5" i="4"/>
  <c r="T6" i="4"/>
  <c r="T7" i="4"/>
  <c r="T8" i="4"/>
  <c r="Q4" i="4"/>
  <c r="Q5" i="4"/>
  <c r="Q6" i="4"/>
  <c r="Q7" i="4"/>
  <c r="Q8" i="4"/>
  <c r="C15" i="11"/>
  <c r="Q14" i="7" l="1"/>
  <c r="R14" i="7" s="1"/>
  <c r="Q16" i="7"/>
  <c r="R16" i="7" s="1"/>
  <c r="Q15" i="7"/>
  <c r="R15" i="7" s="1"/>
  <c r="Q8" i="7"/>
  <c r="R8" i="7" s="1"/>
  <c r="Q6" i="7"/>
  <c r="R6" i="7" s="1"/>
  <c r="Q17" i="7"/>
  <c r="R17" i="7" s="1"/>
  <c r="Q19" i="7"/>
  <c r="R19" i="7" s="1"/>
  <c r="Q11" i="7"/>
  <c r="R11" i="7" s="1"/>
  <c r="Q18" i="7"/>
  <c r="R18" i="7" s="1"/>
  <c r="Q10" i="7"/>
  <c r="R10" i="7" s="1"/>
  <c r="Q9" i="7"/>
  <c r="R9" i="7" s="1"/>
  <c r="Q7" i="7"/>
  <c r="R7" i="7" s="1"/>
  <c r="Q21" i="7"/>
  <c r="R21" i="7" s="1"/>
  <c r="Q13" i="7"/>
  <c r="R13" i="7" s="1"/>
  <c r="Q5" i="7"/>
  <c r="R5" i="7" s="1"/>
  <c r="Q20" i="7"/>
  <c r="R20" i="7" s="1"/>
  <c r="Q12" i="7"/>
  <c r="R12" i="7" s="1"/>
  <c r="O4" i="7"/>
  <c r="Q4" i="7" s="1"/>
  <c r="R4" i="7" s="1"/>
  <c r="M9" i="7"/>
  <c r="X9" i="7" s="1"/>
  <c r="AD9" i="7" s="1"/>
  <c r="AF9" i="7" s="1"/>
  <c r="M8" i="7"/>
  <c r="X8" i="7" s="1"/>
  <c r="AD8" i="7" s="1"/>
  <c r="AF8" i="7" s="1"/>
  <c r="M5" i="7"/>
  <c r="X5" i="7" s="1"/>
  <c r="AD5" i="7" s="1"/>
  <c r="AF5" i="7" s="1"/>
  <c r="M13" i="7"/>
  <c r="X13" i="7" s="1"/>
  <c r="AD13" i="7" s="1"/>
  <c r="AF13" i="7" s="1"/>
  <c r="M12" i="7"/>
  <c r="X12" i="7" s="1"/>
  <c r="AD12" i="7" s="1"/>
  <c r="AF12" i="7" s="1"/>
  <c r="M21" i="7"/>
  <c r="X21" i="7" s="1"/>
  <c r="AD21" i="7" s="1"/>
  <c r="AF21" i="7" s="1"/>
  <c r="M20" i="7"/>
  <c r="X20" i="7" s="1"/>
  <c r="AD20" i="7" s="1"/>
  <c r="AF20" i="7" s="1"/>
  <c r="M4" i="7"/>
  <c r="X4" i="7" s="1"/>
  <c r="AD4" i="7" s="1"/>
  <c r="AF4" i="7" s="1"/>
  <c r="M17" i="7"/>
  <c r="X17" i="7" s="1"/>
  <c r="AD17" i="7" s="1"/>
  <c r="AF17" i="7" s="1"/>
  <c r="M16" i="7"/>
  <c r="X16" i="7" s="1"/>
  <c r="AD16" i="7" s="1"/>
  <c r="AF16" i="7" s="1"/>
  <c r="M19" i="7"/>
  <c r="X19" i="7" s="1"/>
  <c r="AD19" i="7" s="1"/>
  <c r="AF19" i="7" s="1"/>
  <c r="M11" i="7"/>
  <c r="X11" i="7" s="1"/>
  <c r="AD11" i="7" s="1"/>
  <c r="AF11" i="7" s="1"/>
  <c r="M18" i="7"/>
  <c r="X18" i="7" s="1"/>
  <c r="AD18" i="7" s="1"/>
  <c r="AF18" i="7" s="1"/>
  <c r="M10" i="7"/>
  <c r="X10" i="7" s="1"/>
  <c r="AD10" i="7" s="1"/>
  <c r="AF10" i="7" s="1"/>
  <c r="M15" i="7"/>
  <c r="X15" i="7" s="1"/>
  <c r="AD15" i="7" s="1"/>
  <c r="AF15" i="7" s="1"/>
  <c r="M7" i="7"/>
  <c r="X7" i="7" s="1"/>
  <c r="AD7" i="7" s="1"/>
  <c r="AF7" i="7" s="1"/>
  <c r="M14" i="7"/>
  <c r="X14" i="7" s="1"/>
  <c r="AD14" i="7" s="1"/>
  <c r="AF14" i="7" s="1"/>
  <c r="M6" i="7"/>
  <c r="X6" i="7" s="1"/>
  <c r="AD6" i="7" s="1"/>
  <c r="AF6" i="7" s="1"/>
  <c r="AE22" i="7"/>
  <c r="L22" i="7"/>
  <c r="T4" i="7" l="1"/>
</calcChain>
</file>

<file path=xl/sharedStrings.xml><?xml version="1.0" encoding="utf-8"?>
<sst xmlns="http://schemas.openxmlformats.org/spreadsheetml/2006/main" count="453" uniqueCount="141">
  <si>
    <t>Excel for Apparels Supply Chain</t>
  </si>
  <si>
    <t>S.no</t>
  </si>
  <si>
    <t>Factory</t>
  </si>
  <si>
    <t>Order Number</t>
  </si>
  <si>
    <t xml:space="preserve">Style </t>
  </si>
  <si>
    <t>Color</t>
  </si>
  <si>
    <t>Order Qty</t>
  </si>
  <si>
    <t>Target</t>
  </si>
  <si>
    <t>Actual</t>
  </si>
  <si>
    <t xml:space="preserve">Target </t>
  </si>
  <si>
    <t>actual</t>
  </si>
  <si>
    <t>Fabric Inhouse</t>
  </si>
  <si>
    <t>Production File sent to Fty</t>
  </si>
  <si>
    <t>Order-2</t>
  </si>
  <si>
    <t>Kasper</t>
  </si>
  <si>
    <t>Factory -1</t>
  </si>
  <si>
    <t xml:space="preserve">Red </t>
  </si>
  <si>
    <t>Blue</t>
  </si>
  <si>
    <t>Order-3</t>
  </si>
  <si>
    <t>19883-001</t>
  </si>
  <si>
    <t>yellow</t>
  </si>
  <si>
    <t>Order-4</t>
  </si>
  <si>
    <t>Order-5</t>
  </si>
  <si>
    <t>Factory-2</t>
  </si>
  <si>
    <t>Factory-1</t>
  </si>
  <si>
    <t>77456-01</t>
  </si>
  <si>
    <t>Green</t>
  </si>
  <si>
    <t>Order-1</t>
  </si>
  <si>
    <t>Fabric Inhouse Target</t>
  </si>
  <si>
    <t>Fabric Inhouse Actual</t>
  </si>
  <si>
    <t xml:space="preserve">Production File Target </t>
  </si>
  <si>
    <t>Production File actual</t>
  </si>
  <si>
    <t>O</t>
  </si>
  <si>
    <t>P</t>
  </si>
  <si>
    <t>1. Do not merge cell - Ever</t>
  </si>
  <si>
    <t>3.Test for a good format is that : Filters should be working properly</t>
  </si>
  <si>
    <t>2. Headers should be unique</t>
  </si>
  <si>
    <t>Cut Qty</t>
  </si>
  <si>
    <t>Cut %</t>
  </si>
  <si>
    <t>Ship Qty</t>
  </si>
  <si>
    <t>Ship %</t>
  </si>
  <si>
    <t>End to End Order Tracking</t>
  </si>
  <si>
    <t>Planned Cutting Date (PCD)</t>
  </si>
  <si>
    <t>Actual Cutting Date</t>
  </si>
  <si>
    <t>Wash Type</t>
  </si>
  <si>
    <t>Buyer</t>
  </si>
  <si>
    <t>Buyers</t>
  </si>
  <si>
    <t>Levis</t>
  </si>
  <si>
    <t>Tommy</t>
  </si>
  <si>
    <t>C&amp;A</t>
  </si>
  <si>
    <t>Dressman</t>
  </si>
  <si>
    <t>Benetton</t>
  </si>
  <si>
    <t>Splash</t>
  </si>
  <si>
    <t>Wash type</t>
  </si>
  <si>
    <t>Non-Wash</t>
  </si>
  <si>
    <t>Normal</t>
  </si>
  <si>
    <t>Critical</t>
  </si>
  <si>
    <t>RFD</t>
  </si>
  <si>
    <t>Data Validations and Conditional Formats</t>
  </si>
  <si>
    <t>Fabric Supplier</t>
  </si>
  <si>
    <t>Ashima</t>
  </si>
  <si>
    <t>Arvind</t>
  </si>
  <si>
    <t>Vardhman</t>
  </si>
  <si>
    <t>Alok</t>
  </si>
  <si>
    <t>Raymond</t>
  </si>
  <si>
    <t>Fabric Suppliers</t>
  </si>
  <si>
    <t>Fab Sourcing Executive</t>
  </si>
  <si>
    <t>Merchandiser</t>
  </si>
  <si>
    <t>John</t>
  </si>
  <si>
    <t>Elon</t>
  </si>
  <si>
    <t>Bill</t>
  </si>
  <si>
    <t>Sourcing Executive</t>
  </si>
  <si>
    <t>Kane</t>
  </si>
  <si>
    <t>Harry</t>
  </si>
  <si>
    <t>Dinesh</t>
  </si>
  <si>
    <t>Rajesh</t>
  </si>
  <si>
    <t>Manju</t>
  </si>
  <si>
    <t>Sunil</t>
  </si>
  <si>
    <t>Irfan</t>
  </si>
  <si>
    <t>4 point Result</t>
  </si>
  <si>
    <t>Pass</t>
  </si>
  <si>
    <t>Fail</t>
  </si>
  <si>
    <t>4 point result</t>
  </si>
  <si>
    <t>Factory-3</t>
  </si>
  <si>
    <t>Factory-4</t>
  </si>
  <si>
    <t>Order-6</t>
  </si>
  <si>
    <t>Order-7</t>
  </si>
  <si>
    <t>Order-8</t>
  </si>
  <si>
    <t>Order-9</t>
  </si>
  <si>
    <t>Order-10</t>
  </si>
  <si>
    <t>Order-11</t>
  </si>
  <si>
    <t>Order-12</t>
  </si>
  <si>
    <t>Order-13</t>
  </si>
  <si>
    <t>Order-14</t>
  </si>
  <si>
    <t>Order-15</t>
  </si>
  <si>
    <t>Order-16</t>
  </si>
  <si>
    <t>Order-17</t>
  </si>
  <si>
    <t>Order-18</t>
  </si>
  <si>
    <t>Total</t>
  </si>
  <si>
    <t>67895-01</t>
  </si>
  <si>
    <t>6884-03</t>
  </si>
  <si>
    <t>Ted</t>
  </si>
  <si>
    <t>Flow</t>
  </si>
  <si>
    <t>Adrenex</t>
  </si>
  <si>
    <t>56743-008</t>
  </si>
  <si>
    <t>78654-007</t>
  </si>
  <si>
    <t>16754-09</t>
  </si>
  <si>
    <t>76543-67</t>
  </si>
  <si>
    <t>23469-03</t>
  </si>
  <si>
    <t>8765-65</t>
  </si>
  <si>
    <t>White</t>
  </si>
  <si>
    <t>Delivery Date</t>
  </si>
  <si>
    <t>Fabric Delay</t>
  </si>
  <si>
    <t>Ex factory Date</t>
  </si>
  <si>
    <t>Lead time (Cut to Ex factory)</t>
  </si>
  <si>
    <t>Loading Date</t>
  </si>
  <si>
    <t>(All)</t>
  </si>
  <si>
    <t>Row Labels</t>
  </si>
  <si>
    <t>Grand Total</t>
  </si>
  <si>
    <t>Column Labels</t>
  </si>
  <si>
    <t>Count of 4 point Result</t>
  </si>
  <si>
    <t>CK</t>
  </si>
  <si>
    <t>VF</t>
  </si>
  <si>
    <t>Average of Cut %</t>
  </si>
  <si>
    <t>Average of Ship %</t>
  </si>
  <si>
    <t>Custom Format</t>
  </si>
  <si>
    <t>Lead Time</t>
  </si>
  <si>
    <t>Lead Time Grade</t>
  </si>
  <si>
    <t>Fabric Delay Grade</t>
  </si>
  <si>
    <t>Production File Delay</t>
  </si>
  <si>
    <t>Production File Delay Grade</t>
  </si>
  <si>
    <t>Less than 45</t>
  </si>
  <si>
    <t>More than 45 days</t>
  </si>
  <si>
    <t>Count of Lead Time Grade</t>
  </si>
  <si>
    <t>Notice the use of helper Column "Lead time Delay grade"</t>
  </si>
  <si>
    <t>Try changing the count to % of row total</t>
  </si>
  <si>
    <t>Notice that the two picot tables are connected with timeline, try inserting another pivot table here and connect with the same timeline</t>
  </si>
  <si>
    <t>Keep this Sheet Hidden when you send it … also keep this protected you don't want to changing the data in the dropdown list</t>
  </si>
  <si>
    <t>Change the design of the table</t>
  </si>
  <si>
    <t>Add few simple Formula here</t>
  </si>
  <si>
    <t>Add a new row of data if you are not able to add a new row. Google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</si>
</sst>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Wingdings 2"/>
      <family val="1"/>
      <charset val="2"/>
    </font>
    <font>
      <sz val="24"/>
      <color rgb="FF00B050"/>
      <name val="Wingdings 2"/>
      <family val="1"/>
      <charset val="2"/>
    </font>
    <font>
      <sz val="22"/>
      <color rgb="FFFF0000"/>
      <name val="Wingdings 2"/>
      <family val="1"/>
      <charset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8" xfId="0" applyFont="1" applyFill="1" applyBorder="1"/>
    <xf numFmtId="0" fontId="2" fillId="2" borderId="9" xfId="0" applyFont="1" applyFill="1" applyBorder="1"/>
    <xf numFmtId="14" fontId="0" fillId="0" borderId="14" xfId="0" applyNumberFormat="1" applyBorder="1"/>
    <xf numFmtId="14" fontId="0" fillId="0" borderId="16" xfId="0" applyNumberFormat="1" applyBorder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/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/>
    <xf numFmtId="0" fontId="0" fillId="0" borderId="8" xfId="0" applyBorder="1" applyAlignment="1"/>
    <xf numFmtId="0" fontId="2" fillId="2" borderId="22" xfId="0" applyFont="1" applyFill="1" applyBorder="1" applyAlignment="1"/>
    <xf numFmtId="0" fontId="2" fillId="2" borderId="23" xfId="0" applyFont="1" applyFill="1" applyBorder="1" applyAlignment="1"/>
    <xf numFmtId="0" fontId="2" fillId="2" borderId="23" xfId="0" applyFont="1" applyFill="1" applyBorder="1" applyAlignment="1">
      <alignment wrapText="1"/>
    </xf>
    <xf numFmtId="0" fontId="2" fillId="2" borderId="24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25" xfId="0" applyBorder="1" applyAlignment="1">
      <alignment vertical="center"/>
    </xf>
    <xf numFmtId="0" fontId="0" fillId="0" borderId="25" xfId="0" applyBorder="1"/>
    <xf numFmtId="0" fontId="0" fillId="0" borderId="25" xfId="0" applyBorder="1" applyAlignment="1"/>
    <xf numFmtId="0" fontId="0" fillId="0" borderId="18" xfId="0" applyBorder="1"/>
    <xf numFmtId="0" fontId="3" fillId="0" borderId="27" xfId="0" applyFont="1" applyBorder="1" applyAlignment="1"/>
    <xf numFmtId="0" fontId="3" fillId="0" borderId="28" xfId="0" applyFont="1" applyBorder="1" applyAlignment="1"/>
    <xf numFmtId="0" fontId="3" fillId="0" borderId="28" xfId="0" applyFont="1" applyBorder="1" applyAlignment="1">
      <alignment horizontal="center"/>
    </xf>
    <xf numFmtId="14" fontId="0" fillId="0" borderId="1" xfId="0" applyNumberFormat="1" applyBorder="1"/>
    <xf numFmtId="0" fontId="2" fillId="2" borderId="14" xfId="0" applyFont="1" applyFill="1" applyBorder="1" applyAlignment="1"/>
    <xf numFmtId="0" fontId="2" fillId="2" borderId="14" xfId="0" applyFont="1" applyFill="1" applyBorder="1" applyAlignment="1">
      <alignment wrapText="1"/>
    </xf>
    <xf numFmtId="0" fontId="2" fillId="2" borderId="30" xfId="0" applyFont="1" applyFill="1" applyBorder="1" applyAlignment="1">
      <alignment wrapText="1"/>
    </xf>
    <xf numFmtId="0" fontId="0" fillId="0" borderId="28" xfId="0" applyBorder="1"/>
    <xf numFmtId="0" fontId="0" fillId="0" borderId="29" xfId="0" applyBorder="1"/>
    <xf numFmtId="0" fontId="0" fillId="0" borderId="31" xfId="0" applyBorder="1"/>
    <xf numFmtId="14" fontId="0" fillId="0" borderId="25" xfId="0" applyNumberFormat="1" applyBorder="1"/>
    <xf numFmtId="0" fontId="0" fillId="0" borderId="0" xfId="0" applyAlignment="1">
      <alignment wrapText="1"/>
    </xf>
    <xf numFmtId="0" fontId="2" fillId="2" borderId="26" xfId="0" applyFont="1" applyFill="1" applyBorder="1" applyAlignment="1">
      <alignment wrapText="1"/>
    </xf>
    <xf numFmtId="10" fontId="0" fillId="0" borderId="1" xfId="1" applyNumberFormat="1" applyFont="1" applyBorder="1"/>
    <xf numFmtId="10" fontId="0" fillId="0" borderId="25" xfId="1" applyNumberFormat="1" applyFont="1" applyBorder="1"/>
    <xf numFmtId="10" fontId="0" fillId="0" borderId="17" xfId="1" applyNumberFormat="1" applyFont="1" applyBorder="1"/>
    <xf numFmtId="10" fontId="0" fillId="0" borderId="32" xfId="1" applyNumberFormat="1" applyFont="1" applyBorder="1"/>
    <xf numFmtId="0" fontId="0" fillId="0" borderId="0" xfId="0" applyBorder="1"/>
    <xf numFmtId="0" fontId="0" fillId="0" borderId="34" xfId="0" applyBorder="1"/>
    <xf numFmtId="0" fontId="0" fillId="0" borderId="35" xfId="0" applyBorder="1" applyAlignment="1">
      <alignment vertical="center"/>
    </xf>
    <xf numFmtId="0" fontId="0" fillId="0" borderId="35" xfId="0" applyBorder="1"/>
    <xf numFmtId="0" fontId="0" fillId="0" borderId="33" xfId="0" applyBorder="1"/>
    <xf numFmtId="0" fontId="0" fillId="0" borderId="35" xfId="0" applyNumberFormat="1" applyBorder="1"/>
    <xf numFmtId="0" fontId="0" fillId="0" borderId="36" xfId="0" applyNumberFormat="1" applyBorder="1"/>
    <xf numFmtId="16" fontId="0" fillId="0" borderId="1" xfId="0" applyNumberFormat="1" applyBorder="1"/>
    <xf numFmtId="16" fontId="0" fillId="0" borderId="25" xfId="0" applyNumberFormat="1" applyBorder="1"/>
    <xf numFmtId="0" fontId="0" fillId="0" borderId="17" xfId="0" applyNumberFormat="1" applyBorder="1"/>
    <xf numFmtId="0" fontId="0" fillId="0" borderId="32" xfId="0" applyNumberFormat="1" applyBorder="1"/>
    <xf numFmtId="0" fontId="2" fillId="2" borderId="26" xfId="0" applyFont="1" applyFill="1" applyBorder="1" applyAlignment="1"/>
    <xf numFmtId="0" fontId="0" fillId="0" borderId="17" xfId="0" applyBorder="1"/>
    <xf numFmtId="0" fontId="0" fillId="0" borderId="32" xfId="0" applyBorder="1"/>
    <xf numFmtId="0" fontId="0" fillId="0" borderId="0" xfId="0" applyFont="1"/>
    <xf numFmtId="0" fontId="0" fillId="0" borderId="37" xfId="0" applyBorder="1"/>
    <xf numFmtId="9" fontId="0" fillId="0" borderId="1" xfId="1" applyFont="1" applyBorder="1"/>
    <xf numFmtId="0" fontId="0" fillId="0" borderId="1" xfId="0" applyNumberFormat="1" applyBorder="1"/>
    <xf numFmtId="0" fontId="0" fillId="0" borderId="2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3" borderId="1" xfId="0" applyFill="1" applyBorder="1"/>
    <xf numFmtId="9" fontId="0" fillId="3" borderId="1" xfId="1" applyFont="1" applyFill="1" applyBorder="1"/>
    <xf numFmtId="14" fontId="0" fillId="0" borderId="1" xfId="1" applyNumberFormat="1" applyFont="1" applyBorder="1"/>
    <xf numFmtId="10" fontId="0" fillId="0" borderId="38" xfId="1" applyNumberFormat="1" applyFont="1" applyBorder="1"/>
    <xf numFmtId="10" fontId="0" fillId="0" borderId="39" xfId="1" applyNumberFormat="1" applyFont="1" applyBorder="1"/>
    <xf numFmtId="10" fontId="0" fillId="0" borderId="37" xfId="1" applyNumberFormat="1" applyFont="1" applyBorder="1"/>
    <xf numFmtId="0" fontId="2" fillId="2" borderId="40" xfId="0" applyFont="1" applyFill="1" applyBorder="1" applyAlignment="1">
      <alignment wrapText="1"/>
    </xf>
    <xf numFmtId="21" fontId="0" fillId="0" borderId="0" xfId="0" applyNumberFormat="1"/>
    <xf numFmtId="20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8" fillId="0" borderId="0" xfId="0" applyFont="1"/>
    <xf numFmtId="9" fontId="0" fillId="0" borderId="25" xfId="1" applyFont="1" applyBorder="1"/>
  </cellXfs>
  <cellStyles count="2">
    <cellStyle name="Normal" xfId="0" builtinId="0"/>
    <cellStyle name="Percent" xfId="1" builtinId="5"/>
  </cellStyles>
  <dxfs count="126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rgb="FF000000"/>
        </top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/>
        <right/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4" formatCode="0.00%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d/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d/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1" formatCode="dd/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numFmt numFmtId="13" formatCode="0%"/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[Training-Excel.xlsx]Fabric report Pivot!PivotTable1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'Fabric report Pivot'!$B$3:$B$4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'Fabric report Pivot'!$A$5:$A$10</c:f>
              <c:strCache>
                <c:ptCount val="5"/>
                <c:pt idx="0">
                  <c:v>Alok</c:v>
                </c:pt>
                <c:pt idx="1">
                  <c:v>Arvind</c:v>
                </c:pt>
                <c:pt idx="2">
                  <c:v>Ashima</c:v>
                </c:pt>
                <c:pt idx="3">
                  <c:v>Raymond</c:v>
                </c:pt>
                <c:pt idx="4">
                  <c:v>Vardhman</c:v>
                </c:pt>
              </c:strCache>
            </c:strRef>
          </c:cat>
          <c:val>
            <c:numRef>
              <c:f>'Fabric report Pivot'!$B$5:$B$10</c:f>
              <c:numCache>
                <c:formatCode>0.00%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0-4386-A54C-23B08A8DC0CA}"/>
            </c:ext>
          </c:extLst>
        </c:ser>
        <c:ser>
          <c:idx val="1"/>
          <c:order val="1"/>
          <c:tx>
            <c:strRef>
              <c:f>'Fabric report Pivot'!$C$3:$C$4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'Fabric report Pivot'!$A$5:$A$10</c:f>
              <c:strCache>
                <c:ptCount val="5"/>
                <c:pt idx="0">
                  <c:v>Alok</c:v>
                </c:pt>
                <c:pt idx="1">
                  <c:v>Arvind</c:v>
                </c:pt>
                <c:pt idx="2">
                  <c:v>Ashima</c:v>
                </c:pt>
                <c:pt idx="3">
                  <c:v>Raymond</c:v>
                </c:pt>
                <c:pt idx="4">
                  <c:v>Vardhman</c:v>
                </c:pt>
              </c:strCache>
            </c:strRef>
          </c:cat>
          <c:val>
            <c:numRef>
              <c:f>'Fabric report Pivot'!$C$5:$C$10</c:f>
              <c:numCache>
                <c:formatCode>0.00%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0-4386-A54C-23B08A8D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86655"/>
        <c:axId val="2063798303"/>
      </c:barChart>
      <c:catAx>
        <c:axId val="20637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98303"/>
        <c:crosses val="autoZero"/>
        <c:auto val="1"/>
        <c:lblAlgn val="ctr"/>
        <c:lblOffset val="100"/>
        <c:noMultiLvlLbl val="0"/>
      </c:catAx>
      <c:valAx>
        <c:axId val="20637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412750</xdr:colOff>
      <xdr:row>1</xdr:row>
      <xdr:rowOff>6350</xdr:rowOff>
    </xdr:from>
    <xdr:to>
      <xdr:col>31</xdr:col>
      <xdr:colOff>1047750</xdr:colOff>
      <xdr:row>2</xdr:row>
      <xdr:rowOff>241300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37154C8-5071-4C4C-9234-7B748B1117FD}"/>
            </a:ext>
          </a:extLst>
        </xdr:cNvPr>
        <xdr:cNvCxnSpPr/>
      </xdr:nvCxnSpPr>
      <xdr:spPr>
        <a:xfrm flipV="1">
          <a:off x="20294600" y="196850"/>
          <a:ext cx="12446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1219200</xdr:colOff>
      <xdr:row>0</xdr:row>
      <xdr:rowOff>177800</xdr:rowOff>
    </xdr:from>
    <xdr:to>
      <xdr:col>34</xdr:col>
      <xdr:colOff>88900</xdr:colOff>
      <xdr:row>2</xdr:row>
      <xdr:rowOff>387350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791027-9B31-432B-B96E-1384C67388A3}"/>
            </a:ext>
          </a:extLst>
        </xdr:cNvPr>
        <xdr:cNvSpPr txBox="1"/>
      </xdr:nvSpPr>
      <xdr:spPr>
        <a:xfrm>
          <a:off x="21710650" y="177800"/>
          <a:ext cx="20193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You</a:t>
          </a:r>
          <a:r>
            <a:rPr lang="en-IN" sz="1100" baseline="0">
              <a:solidFill>
                <a:srgbClr val="FF0000"/>
              </a:solidFill>
            </a:rPr>
            <a:t> can apply IFERROR function here to remove "#DIV/0!" Error</a:t>
          </a:r>
        </a:p>
      </xdr:txBody>
    </xdr:sp>
    <xdr:clientData/>
  </xdr:twoCellAnchor>
  <xdr:twoCellAnchor>
    <xdr:from>
      <xdr:col>21</xdr:col>
      <xdr:colOff>330200</xdr:colOff>
      <xdr:row>1</xdr:row>
      <xdr:rowOff>133350</xdr:rowOff>
    </xdr:from>
    <xdr:to>
      <xdr:col>23</xdr:col>
      <xdr:colOff>247650</xdr:colOff>
      <xdr:row>2</xdr:row>
      <xdr:rowOff>146050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FA57C12-FB61-4480-A6BC-41138011E813}"/>
            </a:ext>
          </a:extLst>
        </xdr:cNvPr>
        <xdr:cNvCxnSpPr/>
      </xdr:nvCxnSpPr>
      <xdr:spPr>
        <a:xfrm flipV="1">
          <a:off x="15151100" y="323850"/>
          <a:ext cx="137795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406400</xdr:colOff>
      <xdr:row>0</xdr:row>
      <xdr:rowOff>0</xdr:rowOff>
    </xdr:from>
    <xdr:to>
      <xdr:col>31</xdr:col>
      <xdr:colOff>228600</xdr:colOff>
      <xdr:row>1</xdr:row>
      <xdr:rowOff>330200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90CC3B-C66F-431D-9505-50044EFFF4B7}"/>
            </a:ext>
          </a:extLst>
        </xdr:cNvPr>
        <xdr:cNvSpPr txBox="1"/>
      </xdr:nvSpPr>
      <xdr:spPr>
        <a:xfrm>
          <a:off x="16687800" y="0"/>
          <a:ext cx="549275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aseline="0">
              <a:solidFill>
                <a:srgbClr val="FF0000"/>
              </a:solidFill>
            </a:rPr>
            <a:t>Practice "IF- OR" on These Column also create a pivot table for Merchandiser wise production file performance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15875</xdr:rowOff>
    </xdr:from>
    <xdr:to>
      <xdr:col>10</xdr:col>
      <xdr:colOff>571500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FBCEC-EADC-4E57-BD18-61106EC7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508000</xdr:colOff>
      <xdr:row>1</xdr:row>
      <xdr:rowOff>44450</xdr:rowOff>
    </xdr:from>
    <xdr:to>
      <xdr:col>9</xdr:col>
      <xdr:colOff>184150</xdr:colOff>
      <xdr:row>8</xdr:row>
      <xdr:rowOff>127000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lanned Cutting Date (PCD)">
              <a:extLst>
                <a:ext uri="{FF2B5EF4-FFF2-40B4-BE49-F238E27FC236}">
                  <a16:creationId xmlns:a16="http://schemas.microsoft.com/office/drawing/2014/main" id="{876108F7-FEEE-4EB8-833C-D90E9ACEF7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lanned Cutting Date (PC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0" y="2286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3</xdr:row>
      <xdr:rowOff>6350</xdr:rowOff>
    </xdr:from>
    <xdr:to>
      <xdr:col>17</xdr:col>
      <xdr:colOff>158750</xdr:colOff>
      <xdr:row>10</xdr:row>
      <xdr:rowOff>88900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Planned Cutting Date (PCD) 1">
              <a:extLst>
                <a:ext uri="{FF2B5EF4-FFF2-40B4-BE49-F238E27FC236}">
                  <a16:creationId xmlns:a16="http://schemas.microsoft.com/office/drawing/2014/main" id="{710D0D5C-34F1-4C32-B2CA-01F5E24942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Planned Cutting Date (PCD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5588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 sanadhya" refreshedDate="44381.496965509257" createdVersion="7" refreshedVersion="7" minRefreshableVersion="3" recordCount="5" xr:uid="{30923F69-1EC9-4155-83E5-4BAF1982BB07}">
  <cacheSource type="worksheet">
    <worksheetSource name="Table2"/>
  </cacheSource>
  <cacheFields count="18">
    <cacheField name="S.no" numFmtId="0">
      <sharedItems containsSemiMixedTypes="0" containsString="0" containsNumber="1" containsInteger="1" minValue="1" maxValue="5"/>
    </cacheField>
    <cacheField name="Factory" numFmtId="0">
      <sharedItems count="3">
        <s v="Factory -1"/>
        <s v="Factory-2"/>
        <s v="Factory-1"/>
      </sharedItems>
    </cacheField>
    <cacheField name="Order Number" numFmtId="0">
      <sharedItems/>
    </cacheField>
    <cacheField name="Buyer" numFmtId="0">
      <sharedItems count="4">
        <s v="Levis"/>
        <s v="CK"/>
        <s v="Tommy"/>
        <s v="VF"/>
      </sharedItems>
    </cacheField>
    <cacheField name="Style " numFmtId="0">
      <sharedItems/>
    </cacheField>
    <cacheField name="Color" numFmtId="0">
      <sharedItems/>
    </cacheField>
    <cacheField name="Wash Type" numFmtId="0">
      <sharedItems/>
    </cacheField>
    <cacheField name="Order Qty" numFmtId="0">
      <sharedItems containsSemiMixedTypes="0" containsString="0" containsNumber="1" containsInteger="1" minValue="1000" maxValue="4000"/>
    </cacheField>
    <cacheField name="Fabric Inhouse Target" numFmtId="14">
      <sharedItems containsSemiMixedTypes="0" containsNonDate="0" containsDate="1" containsString="0" minDate="2021-06-18T00:00:00" maxDate="2021-06-23T00:00:00"/>
    </cacheField>
    <cacheField name="Fabric Inhouse Actual" numFmtId="0">
      <sharedItems containsNonDate="0" containsString="0" containsBlank="1"/>
    </cacheField>
    <cacheField name="Production File Target " numFmtId="14">
      <sharedItems containsSemiMixedTypes="0" containsNonDate="0" containsDate="1" containsString="0" minDate="2021-07-18T00:00:00" maxDate="2021-07-23T00:00:00"/>
    </cacheField>
    <cacheField name="Production File actual" numFmtId="0">
      <sharedItems containsNonDate="0" containsString="0" containsBlank="1"/>
    </cacheField>
    <cacheField name="Planned Cutting Date (PCD)" numFmtId="14">
      <sharedItems containsSemiMixedTypes="0" containsNonDate="0" containsDate="1" containsString="0" minDate="2021-06-18T00:00:00" maxDate="2021-07-03T00:00:00" count="5">
        <d v="2021-06-18T00:00:00"/>
        <d v="2021-06-26T00:00:00"/>
        <d v="2021-06-30T00:00:00"/>
        <d v="2021-06-28T00:00:00"/>
        <d v="2021-07-02T00:00:00"/>
      </sharedItems>
    </cacheField>
    <cacheField name="Actual Cutting Date" numFmtId="0">
      <sharedItems containsNonDate="0" containsString="0" containsBlank="1"/>
    </cacheField>
    <cacheField name="Cut Qty" numFmtId="0">
      <sharedItems containsSemiMixedTypes="0" containsString="0" containsNumber="1" containsInteger="1" minValue="987" maxValue="3459"/>
    </cacheField>
    <cacheField name="Cut %" numFmtId="10">
      <sharedItems containsSemiMixedTypes="0" containsString="0" containsNumber="1" minValue="0.83333333333333337" maxValue="1.0229999999999999" count="5">
        <n v="0.98699999999999999"/>
        <n v="1.0115000000000001"/>
        <n v="1.0229999999999999"/>
        <n v="0.83333333333333337"/>
        <n v="0.86475000000000002"/>
      </sharedItems>
    </cacheField>
    <cacheField name="Ship Qty" numFmtId="0">
      <sharedItems containsSemiMixedTypes="0" containsString="0" containsNumber="1" containsInteger="1" minValue="976" maxValue="3400"/>
    </cacheField>
    <cacheField name="Ship %" numFmtId="10">
      <sharedItems containsSemiMixedTypes="0" containsString="0" containsNumber="1" minValue="0.97751710654936463" maxValue="0.98885511651469093"/>
    </cacheField>
  </cacheFields>
  <extLst>
    <ext xmlns:x14="http://schemas.microsoft.com/office/spreadsheetml/2009/9/main" uri="{725AE2AE-9491-48be-B2B4-4EB974FC3084}">
      <x14:pivotCacheDefinition pivotCacheId="150631759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 sanadhya" refreshedDate="44381.512096064813" createdVersion="7" refreshedVersion="7" minRefreshableVersion="3" recordCount="18" xr:uid="{3E945B00-4A18-4BDA-9339-A1A5D6BB1D23}">
  <cacheSource type="worksheet">
    <worksheetSource name="Table24"/>
  </cacheSource>
  <cacheFields count="28">
    <cacheField name="S.no" numFmtId="0">
      <sharedItems containsSemiMixedTypes="0" containsString="0" containsNumber="1" containsInteger="1" minValue="1" maxValue="18"/>
    </cacheField>
    <cacheField name="Factory" numFmtId="0">
      <sharedItems count="4">
        <s v="Factory-1"/>
        <s v="Factory-3"/>
        <s v="Factory-4"/>
        <s v="Factory-2"/>
      </sharedItems>
    </cacheField>
    <cacheField name="Order Number" numFmtId="0">
      <sharedItems/>
    </cacheField>
    <cacheField name="Buyer" numFmtId="0">
      <sharedItems/>
    </cacheField>
    <cacheField name="Style " numFmtId="0">
      <sharedItems containsMixedTypes="1" containsNumber="1" containsInteger="1" minValue="19884" maxValue="998443"/>
    </cacheField>
    <cacheField name="Color" numFmtId="0">
      <sharedItems/>
    </cacheField>
    <cacheField name="Wash Type" numFmtId="0">
      <sharedItems count="4">
        <s v="Normal"/>
        <s v="Critical"/>
        <s v="Non-Wash"/>
        <s v="RFD"/>
      </sharedItems>
    </cacheField>
    <cacheField name="Merchandiser" numFmtId="0">
      <sharedItems containsBlank="1"/>
    </cacheField>
    <cacheField name="Fabric Suppliers" numFmtId="0">
      <sharedItems count="5">
        <s v="Ashima"/>
        <s v="Arvind"/>
        <s v="Vardhman"/>
        <s v="Raymond"/>
        <s v="Alok"/>
      </sharedItems>
    </cacheField>
    <cacheField name="Fab Sourcing Executive" numFmtId="0">
      <sharedItems/>
    </cacheField>
    <cacheField name="Order Qty" numFmtId="0">
      <sharedItems containsSemiMixedTypes="0" containsString="0" containsNumber="1" containsInteger="1" minValue="1424" maxValue="4595"/>
    </cacheField>
    <cacheField name="Loading Date" numFmtId="16">
      <sharedItems containsSemiMixedTypes="0" containsNonDate="0" containsDate="1" containsString="0" minDate="2021-06-04T00:00:00" maxDate="2021-10-17T00:00:00"/>
    </cacheField>
    <cacheField name="Delivery Date" numFmtId="16">
      <sharedItems containsSemiMixedTypes="0" containsNonDate="0" containsDate="1" containsString="0" minDate="2021-07-19T00:00:00" maxDate="2021-12-01T00:00:00"/>
    </cacheField>
    <cacheField name="Fabric Inhouse Target" numFmtId="16">
      <sharedItems containsSemiMixedTypes="0" containsNonDate="0" containsDate="1" containsString="0" minDate="2021-06-19T00:00:00" maxDate="2021-11-06T00:00:00"/>
    </cacheField>
    <cacheField name="Fabric Inhouse Actual" numFmtId="14">
      <sharedItems containsSemiMixedTypes="0" containsNonDate="0" containsDate="1" containsString="0" minDate="2021-12-04T00:00:00" maxDate="2021-12-22T00:00:00"/>
    </cacheField>
    <cacheField name="Fabric Delay" numFmtId="0">
      <sharedItems containsSemiMixedTypes="0" containsString="0" containsNumber="1" containsInteger="1" minValue="41" maxValue="185"/>
    </cacheField>
    <cacheField name="4 point Result" numFmtId="0">
      <sharedItems count="2">
        <s v="Pass"/>
        <s v="Fail"/>
      </sharedItems>
    </cacheField>
    <cacheField name="Production File Target " numFmtId="14">
      <sharedItems containsSemiMixedTypes="0" containsNonDate="0" containsDate="1" containsString="0" minDate="2021-06-26T00:00:00" maxDate="2021-11-13T00:00:00"/>
    </cacheField>
    <cacheField name="Production File actual" numFmtId="0">
      <sharedItems containsNonDate="0" containsString="0" containsBlank="1"/>
    </cacheField>
    <cacheField name="Planned Cutting Date (PCD)" numFmtId="16">
      <sharedItems containsSemiMixedTypes="0" containsNonDate="0" containsDate="1" containsString="0" minDate="2021-05-28T00:00:00" maxDate="2021-10-10T00:00:00" count="18">
        <d v="2021-08-26T00:00:00"/>
        <d v="2021-08-22T00:00:00"/>
        <d v="2021-08-31T00:00:00"/>
        <d v="2021-06-18T00:00:00"/>
        <d v="2021-09-02T00:00:00"/>
        <d v="2021-06-19T00:00:00"/>
        <d v="2021-08-06T00:00:00"/>
        <d v="2021-09-19T00:00:00"/>
        <d v="2021-07-22T00:00:00"/>
        <d v="2021-10-03T00:00:00"/>
        <d v="2021-07-31T00:00:00"/>
        <d v="2021-06-29T00:00:00"/>
        <d v="2021-10-09T00:00:00"/>
        <d v="2021-09-12T00:00:00"/>
        <d v="2021-07-19T00:00:00"/>
        <d v="2021-09-17T00:00:00"/>
        <d v="2021-05-28T00:00:00"/>
        <d v="2021-06-12T00:00:00"/>
      </sharedItems>
    </cacheField>
    <cacheField name="Actual Cutting Date" numFmtId="0">
      <sharedItems containsNonDate="0" containsString="0" containsBlank="1"/>
    </cacheField>
    <cacheField name="Cut Qty" numFmtId="0">
      <sharedItems containsString="0" containsBlank="1" containsNumber="1" containsInteger="1" minValue="987" maxValue="3459"/>
    </cacheField>
    <cacheField name="Cut %" numFmtId="10">
      <sharedItems containsSemiMixedTypes="0" containsString="0" containsNumber="1" minValue="0" maxValue="2.4290730337078652" count="6">
        <n v="0.2147986942328618"/>
        <n v="0.48501558379285542"/>
        <n v="0.49135446685878964"/>
        <n v="0.93773443360840214"/>
        <n v="0"/>
        <n v="2.4290730337078652"/>
      </sharedItems>
    </cacheField>
    <cacheField name="Ex factory Date" numFmtId="14">
      <sharedItems containsSemiMixedTypes="0" containsNonDate="0" containsDate="1" containsString="0" minDate="2021-07-04T00:00:00" maxDate="2022-07-22T00:00:00"/>
    </cacheField>
    <cacheField name="Ship Qty" numFmtId="0">
      <sharedItems containsString="0" containsBlank="1" containsNumber="1" containsInteger="1" minValue="976" maxValue="3400"/>
    </cacheField>
    <cacheField name="Lead time (Cut to Ex factory)" numFmtId="0">
      <sharedItems containsSemiMixedTypes="0" containsString="0" containsNumber="1" containsInteger="1" minValue="-53" maxValue="418" count="17">
        <n v="-53"/>
        <n v="317"/>
        <n v="309"/>
        <n v="384"/>
        <n v="385"/>
        <n v="338"/>
        <n v="295"/>
        <n v="355"/>
        <n v="283"/>
        <n v="348"/>
        <n v="381"/>
        <n v="280"/>
        <n v="308"/>
        <n v="364"/>
        <n v="305"/>
        <n v="418"/>
        <n v="404"/>
      </sharedItems>
    </cacheField>
    <cacheField name="Ship %" numFmtId="10">
      <sharedItems containsMixedTypes="1" containsNumber="1" minValue="0.97751710654936463" maxValue="0.98885511651469093"/>
    </cacheField>
    <cacheField name="Lead Time Grade" numFmtId="10">
      <sharedItems count="2">
        <s v="Less than 45"/>
        <s v="More than 45 days"/>
      </sharedItems>
    </cacheField>
  </cacheFields>
  <extLst>
    <ext xmlns:x14="http://schemas.microsoft.com/office/spreadsheetml/2009/9/main" uri="{725AE2AE-9491-48be-B2B4-4EB974FC3084}">
      <x14:pivotCacheDefinition pivotCacheId="288746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s v="Order-1"/>
    <x v="0"/>
    <s v="Kasper"/>
    <s v="Red "/>
    <s v="Non-Wash"/>
    <n v="1000"/>
    <d v="2021-06-18T00:00:00"/>
    <m/>
    <d v="2021-07-18T00:00:00"/>
    <m/>
    <x v="0"/>
    <m/>
    <n v="987"/>
    <x v="0"/>
    <n v="976"/>
    <n v="0.98885511651469093"/>
  </r>
  <r>
    <n v="2"/>
    <x v="0"/>
    <s v="Order-2"/>
    <x v="1"/>
    <s v="Kasper"/>
    <s v="Blue"/>
    <s v="Normal"/>
    <n v="2000"/>
    <d v="2021-06-19T00:00:00"/>
    <m/>
    <d v="2021-07-19T00:00:00"/>
    <m/>
    <x v="1"/>
    <m/>
    <n v="2023"/>
    <x v="1"/>
    <n v="2000"/>
    <n v="0.98863074641621351"/>
  </r>
  <r>
    <n v="3"/>
    <x v="1"/>
    <s v="Order-3"/>
    <x v="2"/>
    <s v="19883-001"/>
    <s v="yellow"/>
    <s v="Critical"/>
    <n v="1000"/>
    <d v="2021-06-20T00:00:00"/>
    <m/>
    <d v="2021-07-20T00:00:00"/>
    <m/>
    <x v="2"/>
    <m/>
    <n v="1023"/>
    <x v="2"/>
    <n v="1000"/>
    <n v="0.97751710654936463"/>
  </r>
  <r>
    <n v="4"/>
    <x v="2"/>
    <s v="Order-4"/>
    <x v="1"/>
    <s v="77456-01"/>
    <s v="Blue"/>
    <s v="Normal"/>
    <n v="3000"/>
    <d v="2021-06-21T00:00:00"/>
    <m/>
    <d v="2021-07-21T00:00:00"/>
    <m/>
    <x v="3"/>
    <m/>
    <n v="2500"/>
    <x v="3"/>
    <n v="2456"/>
    <n v="0.98240000000000005"/>
  </r>
  <r>
    <n v="5"/>
    <x v="2"/>
    <s v="Order-5"/>
    <x v="3"/>
    <s v="77456-01"/>
    <s v="Green"/>
    <s v="Critical"/>
    <n v="4000"/>
    <d v="2021-06-22T00:00:00"/>
    <m/>
    <d v="2021-07-22T00:00:00"/>
    <m/>
    <x v="4"/>
    <m/>
    <n v="3459"/>
    <x v="4"/>
    <n v="3400"/>
    <n v="0.98294304712344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Order-1"/>
    <s v="C&amp;A"/>
    <s v="Kasper"/>
    <s v="Red "/>
    <x v="0"/>
    <s v="Sunil"/>
    <x v="0"/>
    <s v="Harry"/>
    <n v="4595"/>
    <d v="2021-09-02T00:00:00"/>
    <d v="2021-10-17T00:00:00"/>
    <d v="2021-09-22T00:00:00"/>
    <d v="2021-12-04T00:00:00"/>
    <n v="73"/>
    <x v="0"/>
    <d v="2021-09-29T00:00:00"/>
    <m/>
    <x v="0"/>
    <m/>
    <n v="987"/>
    <x v="0"/>
    <d v="2021-07-04T00:00:00"/>
    <n v="976"/>
    <x v="0"/>
    <n v="0.98885511651469093"/>
    <x v="0"/>
  </r>
  <r>
    <n v="2"/>
    <x v="0"/>
    <s v="Order-2"/>
    <s v="C&amp;A"/>
    <s v="Kasper"/>
    <s v="Blue"/>
    <x v="0"/>
    <s v="Irfan"/>
    <x v="1"/>
    <s v="Dinesh"/>
    <n v="4171"/>
    <d v="2021-08-29T00:00:00"/>
    <d v="2021-10-13T00:00:00"/>
    <d v="2021-09-18T00:00:00"/>
    <d v="2021-12-05T00:00:00"/>
    <n v="78"/>
    <x v="0"/>
    <d v="2021-09-25T00:00:00"/>
    <m/>
    <x v="1"/>
    <m/>
    <n v="2023"/>
    <x v="1"/>
    <d v="2022-07-05T00:00:00"/>
    <n v="2000"/>
    <x v="1"/>
    <n v="0.98863074641621351"/>
    <x v="1"/>
  </r>
  <r>
    <n v="3"/>
    <x v="1"/>
    <s v="Order-3"/>
    <s v="Tommy"/>
    <s v="19883-001"/>
    <s v="yellow"/>
    <x v="1"/>
    <s v="Elon"/>
    <x v="2"/>
    <s v="Harry"/>
    <n v="2082"/>
    <d v="2021-09-07T00:00:00"/>
    <d v="2021-10-22T00:00:00"/>
    <d v="2021-09-07T00:00:00"/>
    <d v="2021-12-06T00:00:00"/>
    <n v="90"/>
    <x v="0"/>
    <d v="2021-09-14T00:00:00"/>
    <m/>
    <x v="2"/>
    <m/>
    <n v="1023"/>
    <x v="2"/>
    <d v="2022-07-06T00:00:00"/>
    <n v="1000"/>
    <x v="2"/>
    <n v="0.97751710654936463"/>
    <x v="1"/>
  </r>
  <r>
    <n v="4"/>
    <x v="0"/>
    <s v="Order-5"/>
    <s v="Benetton"/>
    <s v="77456-01"/>
    <s v="Blue"/>
    <x v="2"/>
    <s v="Bill"/>
    <x v="2"/>
    <s v="Rajesh"/>
    <n v="2666"/>
    <d v="2021-06-25T00:00:00"/>
    <d v="2021-08-09T00:00:00"/>
    <d v="2021-07-15T00:00:00"/>
    <d v="2021-12-07T00:00:00"/>
    <n v="145"/>
    <x v="1"/>
    <d v="2021-07-22T00:00:00"/>
    <m/>
    <x v="3"/>
    <m/>
    <n v="2500"/>
    <x v="3"/>
    <d v="2022-07-07T00:00:00"/>
    <n v="2456"/>
    <x v="3"/>
    <n v="0.98240000000000005"/>
    <x v="1"/>
  </r>
  <r>
    <n v="5"/>
    <x v="2"/>
    <s v="Order-5"/>
    <s v="Dressman"/>
    <n v="998443"/>
    <s v="White"/>
    <x v="3"/>
    <s v="Bill"/>
    <x v="3"/>
    <s v="Rajesh"/>
    <n v="4508"/>
    <d v="2021-09-09T00:00:00"/>
    <d v="2021-10-24T00:00:00"/>
    <d v="2021-09-29T00:00:00"/>
    <d v="2021-12-08T00:00:00"/>
    <n v="70"/>
    <x v="1"/>
    <d v="2021-10-06T00:00:00"/>
    <m/>
    <x v="4"/>
    <m/>
    <m/>
    <x v="4"/>
    <d v="2022-07-08T00:00:00"/>
    <m/>
    <x v="2"/>
    <e v="#DIV/0!"/>
    <x v="1"/>
  </r>
  <r>
    <n v="6"/>
    <x v="0"/>
    <s v="Order-6"/>
    <s v="Splash"/>
    <s v="77456-01"/>
    <s v="Green"/>
    <x v="1"/>
    <s v="John"/>
    <x v="3"/>
    <s v="Manju"/>
    <n v="1424"/>
    <d v="2021-06-26T00:00:00"/>
    <d v="2021-08-10T00:00:00"/>
    <d v="2021-06-26T00:00:00"/>
    <d v="2021-12-09T00:00:00"/>
    <n v="166"/>
    <x v="0"/>
    <d v="2021-07-03T00:00:00"/>
    <m/>
    <x v="5"/>
    <m/>
    <n v="3459"/>
    <x v="5"/>
    <d v="2022-07-09T00:00:00"/>
    <n v="3400"/>
    <x v="4"/>
    <n v="0.98294304712344605"/>
    <x v="1"/>
  </r>
  <r>
    <n v="7"/>
    <x v="3"/>
    <s v="Order-7"/>
    <s v="Splash"/>
    <s v="67895-01"/>
    <s v="Red "/>
    <x v="0"/>
    <s v="Sunil"/>
    <x v="1"/>
    <s v="Harry"/>
    <n v="2410"/>
    <d v="2021-08-13T00:00:00"/>
    <d v="2021-09-27T00:00:00"/>
    <d v="2021-09-02T00:00:00"/>
    <d v="2021-12-10T00:00:00"/>
    <n v="99"/>
    <x v="0"/>
    <d v="2021-09-09T00:00:00"/>
    <m/>
    <x v="6"/>
    <m/>
    <m/>
    <x v="4"/>
    <d v="2022-07-10T00:00:00"/>
    <m/>
    <x v="5"/>
    <e v="#DIV/0!"/>
    <x v="1"/>
  </r>
  <r>
    <n v="8"/>
    <x v="2"/>
    <s v="Order-8"/>
    <s v="Levis"/>
    <s v="6884-03"/>
    <s v="Blue"/>
    <x v="0"/>
    <s v="Sunil"/>
    <x v="4"/>
    <s v="Dinesh"/>
    <n v="2826"/>
    <d v="2021-09-26T00:00:00"/>
    <d v="2021-11-10T00:00:00"/>
    <d v="2021-10-16T00:00:00"/>
    <d v="2021-12-11T00:00:00"/>
    <n v="56"/>
    <x v="0"/>
    <d v="2021-10-23T00:00:00"/>
    <m/>
    <x v="7"/>
    <m/>
    <m/>
    <x v="4"/>
    <d v="2022-07-11T00:00:00"/>
    <m/>
    <x v="6"/>
    <e v="#DIV/0!"/>
    <x v="1"/>
  </r>
  <r>
    <n v="9"/>
    <x v="0"/>
    <s v="Order-9"/>
    <s v="Tommy"/>
    <n v="19884"/>
    <s v="yellow"/>
    <x v="1"/>
    <s v="Irfan"/>
    <x v="4"/>
    <s v="Harry"/>
    <n v="2818"/>
    <d v="2021-07-29T00:00:00"/>
    <d v="2021-09-12T00:00:00"/>
    <d v="2021-07-29T00:00:00"/>
    <d v="2021-12-12T00:00:00"/>
    <n v="136"/>
    <x v="1"/>
    <d v="2021-08-05T00:00:00"/>
    <m/>
    <x v="8"/>
    <m/>
    <m/>
    <x v="4"/>
    <d v="2022-07-12T00:00:00"/>
    <m/>
    <x v="7"/>
    <e v="#DIV/0!"/>
    <x v="1"/>
  </r>
  <r>
    <n v="10"/>
    <x v="0"/>
    <s v="Order-10"/>
    <s v="Dressman"/>
    <s v="Ted"/>
    <s v="Blue"/>
    <x v="2"/>
    <s v="Elon"/>
    <x v="0"/>
    <s v="Rajesh"/>
    <n v="1761"/>
    <d v="2021-10-10T00:00:00"/>
    <d v="2021-11-24T00:00:00"/>
    <d v="2021-10-30T00:00:00"/>
    <d v="2021-12-13T00:00:00"/>
    <n v="44"/>
    <x v="1"/>
    <d v="2021-11-06T00:00:00"/>
    <m/>
    <x v="9"/>
    <m/>
    <m/>
    <x v="4"/>
    <d v="2022-07-13T00:00:00"/>
    <m/>
    <x v="8"/>
    <e v="#DIV/0!"/>
    <x v="1"/>
  </r>
  <r>
    <n v="11"/>
    <x v="1"/>
    <s v="Order-11"/>
    <s v="Benetton"/>
    <s v="Flow"/>
    <s v="White"/>
    <x v="3"/>
    <s v="Bill"/>
    <x v="1"/>
    <s v="Rajesh"/>
    <n v="2373"/>
    <d v="2021-08-07T00:00:00"/>
    <d v="2021-09-21T00:00:00"/>
    <d v="2021-08-27T00:00:00"/>
    <d v="2021-12-14T00:00:00"/>
    <n v="109"/>
    <x v="0"/>
    <d v="2021-09-03T00:00:00"/>
    <m/>
    <x v="10"/>
    <m/>
    <m/>
    <x v="4"/>
    <d v="2022-07-14T00:00:00"/>
    <m/>
    <x v="9"/>
    <e v="#DIV/0!"/>
    <x v="1"/>
  </r>
  <r>
    <n v="12"/>
    <x v="0"/>
    <s v="Order-12"/>
    <s v="Splash"/>
    <s v="Adrenex"/>
    <s v="Green"/>
    <x v="1"/>
    <s v="Bill"/>
    <x v="2"/>
    <s v="Manju"/>
    <n v="2867"/>
    <d v="2021-07-06T00:00:00"/>
    <d v="2021-08-20T00:00:00"/>
    <d v="2021-07-06T00:00:00"/>
    <d v="2021-12-15T00:00:00"/>
    <n v="162"/>
    <x v="0"/>
    <d v="2021-07-13T00:00:00"/>
    <m/>
    <x v="11"/>
    <m/>
    <m/>
    <x v="4"/>
    <d v="2022-07-15T00:00:00"/>
    <m/>
    <x v="10"/>
    <e v="#DIV/0!"/>
    <x v="1"/>
  </r>
  <r>
    <n v="13"/>
    <x v="2"/>
    <s v="Order-13"/>
    <s v="C&amp;A"/>
    <s v="56743-008"/>
    <s v="Red "/>
    <x v="0"/>
    <s v="John"/>
    <x v="2"/>
    <s v="Harry"/>
    <n v="2086"/>
    <d v="2021-10-16T00:00:00"/>
    <d v="2021-11-30T00:00:00"/>
    <d v="2021-11-05T00:00:00"/>
    <d v="2021-12-16T00:00:00"/>
    <n v="41"/>
    <x v="0"/>
    <d v="2021-11-12T00:00:00"/>
    <m/>
    <x v="12"/>
    <m/>
    <m/>
    <x v="4"/>
    <d v="2022-07-16T00:00:00"/>
    <m/>
    <x v="11"/>
    <e v="#DIV/0!"/>
    <x v="1"/>
  </r>
  <r>
    <n v="14"/>
    <x v="0"/>
    <s v="Order-14"/>
    <s v="Tommy"/>
    <s v="78654-007"/>
    <s v="Blue"/>
    <x v="0"/>
    <s v="Sunil"/>
    <x v="3"/>
    <s v="Dinesh"/>
    <n v="3146"/>
    <d v="2021-09-19T00:00:00"/>
    <d v="2021-11-03T00:00:00"/>
    <d v="2021-10-09T00:00:00"/>
    <d v="2021-12-17T00:00:00"/>
    <n v="69"/>
    <x v="1"/>
    <d v="2021-10-16T00:00:00"/>
    <m/>
    <x v="13"/>
    <m/>
    <m/>
    <x v="4"/>
    <d v="2022-07-17T00:00:00"/>
    <m/>
    <x v="12"/>
    <e v="#DIV/0!"/>
    <x v="1"/>
  </r>
  <r>
    <n v="15"/>
    <x v="3"/>
    <s v="Order-15"/>
    <s v="Dressman"/>
    <s v="16754-09"/>
    <s v="yellow"/>
    <x v="1"/>
    <s v="Irfan"/>
    <x v="3"/>
    <s v="Harry"/>
    <n v="3765"/>
    <d v="2021-07-26T00:00:00"/>
    <d v="2021-09-09T00:00:00"/>
    <d v="2021-07-26T00:00:00"/>
    <d v="2021-12-18T00:00:00"/>
    <n v="145"/>
    <x v="1"/>
    <d v="2021-08-02T00:00:00"/>
    <m/>
    <x v="14"/>
    <m/>
    <m/>
    <x v="4"/>
    <d v="2022-07-18T00:00:00"/>
    <m/>
    <x v="13"/>
    <e v="#DIV/0!"/>
    <x v="1"/>
  </r>
  <r>
    <n v="16"/>
    <x v="2"/>
    <s v="Order-16"/>
    <s v="Benetton"/>
    <s v="76543-67"/>
    <s v="Blue"/>
    <x v="2"/>
    <s v="Bill"/>
    <x v="1"/>
    <s v="Rajesh"/>
    <n v="3122"/>
    <d v="2021-09-24T00:00:00"/>
    <d v="2021-11-08T00:00:00"/>
    <d v="2021-10-14T00:00:00"/>
    <d v="2021-12-19T00:00:00"/>
    <n v="66"/>
    <x v="1"/>
    <d v="2021-10-21T00:00:00"/>
    <m/>
    <x v="15"/>
    <m/>
    <m/>
    <x v="4"/>
    <d v="2022-07-19T00:00:00"/>
    <m/>
    <x v="14"/>
    <e v="#DIV/0!"/>
    <x v="1"/>
  </r>
  <r>
    <n v="17"/>
    <x v="1"/>
    <s v="Order-17"/>
    <s v="Splash"/>
    <s v="23469-03"/>
    <s v="White"/>
    <x v="3"/>
    <s v="John"/>
    <x v="4"/>
    <s v="Rajesh"/>
    <n v="3931"/>
    <d v="2021-06-04T00:00:00"/>
    <d v="2021-07-19T00:00:00"/>
    <d v="2021-06-24T00:00:00"/>
    <d v="2021-12-20T00:00:00"/>
    <n v="179"/>
    <x v="0"/>
    <d v="2021-07-01T00:00:00"/>
    <m/>
    <x v="16"/>
    <m/>
    <m/>
    <x v="4"/>
    <d v="2022-07-20T00:00:00"/>
    <m/>
    <x v="15"/>
    <e v="#DIV/0!"/>
    <x v="1"/>
  </r>
  <r>
    <n v="18"/>
    <x v="2"/>
    <s v="Order-18"/>
    <s v="C&amp;A"/>
    <s v="8765-65"/>
    <s v="Green"/>
    <x v="1"/>
    <m/>
    <x v="4"/>
    <s v="Manju"/>
    <n v="3392"/>
    <d v="2021-06-19T00:00:00"/>
    <d v="2021-08-03T00:00:00"/>
    <d v="2021-06-19T00:00:00"/>
    <d v="2021-12-21T00:00:00"/>
    <n v="185"/>
    <x v="0"/>
    <d v="2021-06-26T00:00:00"/>
    <m/>
    <x v="17"/>
    <m/>
    <m/>
    <x v="4"/>
    <d v="2022-07-21T00:00:00"/>
    <m/>
    <x v="16"/>
    <e v="#DIV/0!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0D771-FECD-40E3-A89A-AE510DD3E6C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10" firstHeaderRow="1" firstDataRow="2" firstDataCol="1" rowPageCount="1" colPageCount="1"/>
  <pivotFields count="28">
    <pivotField showAll="0"/>
    <pivotField showAll="0"/>
    <pivotField showAll="0"/>
    <pivotField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numFmtId="16" showAll="0"/>
    <pivotField numFmtId="16" showAll="0"/>
    <pivotField numFmtId="16" showAll="0"/>
    <pivotField numFmtId="14" showAll="0"/>
    <pivotField showAll="0"/>
    <pivotField axis="axisCol" dataField="1" showAll="0">
      <items count="3">
        <item x="1"/>
        <item x="0"/>
        <item t="default"/>
      </items>
    </pivotField>
    <pivotField numFmtId="14" showAll="0"/>
    <pivotField showAll="0"/>
    <pivotField numFmtId="16" showAll="0"/>
    <pivotField showAll="0"/>
    <pivotField showAll="0"/>
    <pivotField numFmtId="10"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3">
    <i>
      <x/>
    </i>
    <i>
      <x v="1"/>
    </i>
    <i t="grand">
      <x/>
    </i>
  </colItems>
  <pageFields count="1">
    <pageField fld="6" hier="-1"/>
  </pageFields>
  <dataFields count="1">
    <dataField name="Count of 4 point Result" fld="16" subtotal="count" showDataAs="percentOfRow" baseField="0" baseItem="0" numFmtId="1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62809-F4D5-48BD-8F91-5DAC9B6709EE}" name="PivotTable3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3:C8" firstHeaderRow="0" firstDataRow="1" firstDataCol="1" rowPageCount="1" colPageCount="1"/>
  <pivotFields count="18"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numFmtId="14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dataField="1" numFmtId="10" showAll="0"/>
    <pivotField showAll="0"/>
    <pivotField dataField="1" numFmtId="1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Cut %" fld="15" subtotal="average" baseField="3" baseItem="0"/>
    <dataField name="Average of Ship %" fld="17" subtotal="average" baseField="3" baseItem="1"/>
  </dataFields>
  <formats count="1">
    <format dxfId="9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F715E-6A47-49A4-896A-CBC200AC1142}" name="PivotTable4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K3:L7" firstHeaderRow="1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numFmtId="14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dataField="1" numFmtId="10" showAll="0">
      <items count="6">
        <item x="3"/>
        <item x="4"/>
        <item x="0"/>
        <item x="1"/>
        <item x="2"/>
        <item t="default"/>
      </items>
    </pivotField>
    <pivotField showAll="0"/>
    <pivotField numFmtId="1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ut %" fld="15" subtotal="average" baseField="1" baseItem="0"/>
  </dataFields>
  <formats count="1">
    <format dxfId="9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09704-CACD-49AE-BA14-79D14E08BC18}" name="PivotTable5" cacheId="3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3:D9" firstHeaderRow="1" firstDataRow="2" firstDataCol="1"/>
  <pivotFields count="28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" showAll="0"/>
    <pivotField numFmtId="16" showAll="0"/>
    <pivotField numFmtId="16" showAll="0"/>
    <pivotField numFmtId="14" showAll="0"/>
    <pivotField showAll="0"/>
    <pivotField showAll="0"/>
    <pivotField numFmtId="14" showAll="0"/>
    <pivotField showAll="0"/>
    <pivotField numFmtId="16" showAll="0">
      <items count="19">
        <item x="16"/>
        <item x="17"/>
        <item x="3"/>
        <item x="5"/>
        <item x="11"/>
        <item x="14"/>
        <item x="8"/>
        <item x="10"/>
        <item x="6"/>
        <item x="1"/>
        <item x="0"/>
        <item x="2"/>
        <item x="4"/>
        <item x="13"/>
        <item x="15"/>
        <item x="7"/>
        <item x="9"/>
        <item x="12"/>
        <item t="default"/>
      </items>
    </pivotField>
    <pivotField showAll="0"/>
    <pivotField showAll="0"/>
    <pivotField numFmtId="10"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>
      <items count="18">
        <item x="0"/>
        <item x="11"/>
        <item x="8"/>
        <item x="6"/>
        <item x="14"/>
        <item x="12"/>
        <item x="2"/>
        <item x="1"/>
        <item x="5"/>
        <item x="9"/>
        <item x="7"/>
        <item x="13"/>
        <item x="10"/>
        <item x="3"/>
        <item x="4"/>
        <item x="16"/>
        <item x="15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7"/>
  </colFields>
  <colItems count="3">
    <i>
      <x/>
    </i>
    <i>
      <x v="1"/>
    </i>
    <i t="grand">
      <x/>
    </i>
  </colItems>
  <dataFields count="1">
    <dataField name="Count of Lead Time Grade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DDD12-C541-4F7E-94F5-0946537A73D0}" name="Table1" displayName="Table1" ref="B3:Q9" totalsRowCount="1" headerRowDxfId="125" headerRowBorderDxfId="124" tableBorderDxfId="123" totalsRowBorderDxfId="122">
  <autoFilter ref="B3:Q8" xr:uid="{CDEDDD12-C541-4F7E-94F5-0946537A73D0}"/>
  <tableColumns count="16">
    <tableColumn id="1" xr3:uid="{AF4CCC17-CE21-4BCF-8B5B-C388DF720AAF}" name="S.no" totalsRowLabel="Total" dataDxfId="121" totalsRowDxfId="120"/>
    <tableColumn id="2" xr3:uid="{8F9FD68A-D1AF-45B9-BFAC-66D476CDA409}" name="Factory" dataDxfId="119" totalsRowDxfId="118"/>
    <tableColumn id="3" xr3:uid="{1E456CE9-CEDF-4C7C-BE09-84FA39784392}" name="Order Number" dataDxfId="117" totalsRowDxfId="116"/>
    <tableColumn id="4" xr3:uid="{121DF072-6742-4791-9806-75C7C6F050F7}" name="Style " totalsRowDxfId="115"/>
    <tableColumn id="5" xr3:uid="{91AEA638-0525-47A7-9807-E977C1A062D5}" name="Color" dataDxfId="114" totalsRowDxfId="113"/>
    <tableColumn id="6" xr3:uid="{EC5508AC-B12C-4E84-87CF-01C98050EB25}" name="Order Qty" totalsRowFunction="average" dataDxfId="112" totalsRowDxfId="111"/>
    <tableColumn id="7" xr3:uid="{E0EB7E16-ECD7-4C0F-824F-B30E51C39F1E}" name="Fabric Inhouse Target" dataDxfId="110" totalsRowDxfId="109"/>
    <tableColumn id="8" xr3:uid="{FD08FA48-A02F-4450-9A12-EE6FEE343EBA}" name="Fabric Inhouse Actual" dataDxfId="108" totalsRowDxfId="107"/>
    <tableColumn id="9" xr3:uid="{F0689AC1-96E9-47FF-95E4-31E1B67A57F6}" name="Production File Target " dataDxfId="106" totalsRowDxfId="105"/>
    <tableColumn id="10" xr3:uid="{9F1F48F5-569F-4B88-B667-38F009FD907D}" name="Production File actual" dataDxfId="104" totalsRowDxfId="103"/>
    <tableColumn id="11" xr3:uid="{51B30E2C-8045-4EA9-8275-335F6F26E24B}" name="Planned Cutting Date (PCD)" dataDxfId="102" totalsRowDxfId="101"/>
    <tableColumn id="12" xr3:uid="{932C2376-A1FC-4992-9F54-4BA03134693E}" name="Actual Cutting Date" dataDxfId="100" totalsRowDxfId="99"/>
    <tableColumn id="13" xr3:uid="{BE254D36-6C0B-44CC-A971-7D1641F4F4BD}" name="Cut Qty" dataDxfId="98" totalsRowDxfId="97"/>
    <tableColumn id="14" xr3:uid="{80A22484-8DF7-4E69-9DE4-B48A202BEA50}" name="Cut %" totalsRowFunction="average" dataDxfId="96" totalsRowDxfId="0" totalsRowCellStyle="Percent">
      <calculatedColumnFormula>Table1[[#This Row],[Cut Qty]]/Table1[[#This Row],[Order Qty]]</calculatedColumnFormula>
    </tableColumn>
    <tableColumn id="15" xr3:uid="{55DB27DB-F410-4B96-9E9A-424C802E83F6}" name="Ship Qty" dataDxfId="95" totalsRowDxfId="94"/>
    <tableColumn id="16" xr3:uid="{110DE1B9-D8DA-4664-AAEE-5F8FD376F341}" name="Ship %" totalsRowFunction="count" dataDxfId="93" totalsRowDxfId="9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94D6A-44D7-45EB-950D-E9F4C8802FF9}" name="Table2" displayName="Table2" ref="B3:T8" totalsRowShown="0" headerRowDxfId="89" headerRowBorderDxfId="88" tableBorderDxfId="87" totalsRowBorderDxfId="86">
  <autoFilter ref="B3:T8" xr:uid="{F5894D6A-44D7-45EB-950D-E9F4C8802FF9}"/>
  <tableColumns count="19">
    <tableColumn id="1" xr3:uid="{A0B02E34-DA7C-42F9-B8FE-835E1DC7A34C}" name="S.no" dataDxfId="85"/>
    <tableColumn id="2" xr3:uid="{439C2250-8228-4920-BE03-730E60E9ABE1}" name="Factory" dataDxfId="84"/>
    <tableColumn id="3" xr3:uid="{BED6C2D5-11C1-4FC7-8BFC-C83D45E657D6}" name="Order Number" dataDxfId="83"/>
    <tableColumn id="4" xr3:uid="{3A38E364-BB52-4031-995E-625D6FDFC539}" name="Buyer" dataDxfId="82"/>
    <tableColumn id="5" xr3:uid="{8255EF64-6813-4AFB-86EE-54BDB56C602B}" name="Style "/>
    <tableColumn id="6" xr3:uid="{C02628B3-C572-4CB3-B11F-0F8F72069150}" name="Color" dataDxfId="81"/>
    <tableColumn id="7" xr3:uid="{D54F5545-8925-4985-A33A-22948C1A2008}" name="Wash Type" dataDxfId="80"/>
    <tableColumn id="8" xr3:uid="{81C61282-0638-42E8-91FA-CC4BB90FF31A}" name="Order Qty" dataDxfId="79"/>
    <tableColumn id="9" xr3:uid="{8CA788A8-8B64-476E-BCBE-33C4E29D6C9C}" name="Fabric Inhouse Target" dataDxfId="78"/>
    <tableColumn id="10" xr3:uid="{E5498BBF-713B-4446-916C-2CF812125D14}" name="Fabric Inhouse Actual" dataDxfId="77"/>
    <tableColumn id="11" xr3:uid="{C7537AB1-89CD-40FC-B5B0-193C079F8DE7}" name="Production File Target " dataDxfId="76"/>
    <tableColumn id="12" xr3:uid="{4401C382-2C6C-4736-BA6E-D3DE1BB39B56}" name="Production File actual" dataDxfId="75"/>
    <tableColumn id="13" xr3:uid="{356B59A1-E233-4C0D-B7B4-E40B8F54CD92}" name="Planned Cutting Date (PCD)" dataDxfId="74">
      <calculatedColumnFormula>IF(Table2[[#This Row],[Wash Type]]="Normal",Table2[[#This Row],[Fabric Inhouse Target]]+7,IF(Table2[[#This Row],[Wash Type]]="Critical",Table2[[#This Row],[Fabric Inhouse Target]]+10,Table2[[#This Row],[Fabric Inhouse Target]]))</calculatedColumnFormula>
    </tableColumn>
    <tableColumn id="14" xr3:uid="{33BE3B0C-EF29-411C-B156-AC77E39D1C2D}" name="Actual Cutting Date" dataDxfId="73"/>
    <tableColumn id="15" xr3:uid="{69D74C75-31F3-4D38-8856-C86990C5B9A9}" name="Cut Qty" dataDxfId="72"/>
    <tableColumn id="16" xr3:uid="{835F186D-D6B8-4B17-8178-9B92C9697B1F}" name="Cut %" dataDxfId="71" dataCellStyle="Percent">
      <calculatedColumnFormula>Table2[[#This Row],[Cut Qty]]/Table2[[#This Row],[Order Qty]]</calculatedColumnFormula>
    </tableColumn>
    <tableColumn id="17" xr3:uid="{C52E0C82-26AF-49B8-BFEF-DD0FC15EB912}" name="Ship Qty" dataDxfId="70"/>
    <tableColumn id="19" xr3:uid="{E6A95AE1-4D93-484A-8B27-1E0E5CD5E2A7}" name="Lead Time" dataDxfId="69"/>
    <tableColumn id="18" xr3:uid="{5C80F8AA-171E-4D71-A9CC-94B43AD57167}" name="Ship %" dataDxfId="68" dataCellStyle="Percent">
      <calculatedColumnFormula>Table2[[#This Row],[Ship Qty]]/Table2[[#This Row],[Cut Qty]]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5F9E8E-FE28-4A7B-8049-12E2DFF65D49}" name="Table24" displayName="Table24" ref="B3:AF22" totalsRowCount="1" headerRowDxfId="67" headerRowBorderDxfId="66" tableBorderDxfId="65" totalsRowBorderDxfId="64">
  <autoFilter ref="B3:AF21" xr:uid="{3C5F9E8E-FE28-4A7B-8049-12E2DFF65D49}"/>
  <tableColumns count="31">
    <tableColumn id="1" xr3:uid="{AF3560F9-E01F-4859-945A-CD3E899AACF8}" name="S.no" totalsRowLabel="Total" dataDxfId="63" totalsRowDxfId="31"/>
    <tableColumn id="2" xr3:uid="{C048DF85-F5D0-4A1F-8D46-32351BC89BDB}" name="Factory" dataDxfId="62" totalsRowDxfId="30"/>
    <tableColumn id="3" xr3:uid="{A5BB9FBE-461F-4691-9155-9861A3F14D34}" name="Order Number" dataDxfId="61" totalsRowDxfId="29"/>
    <tableColumn id="4" xr3:uid="{A4C7D43C-68E2-45C6-94D7-788E4BFACA0B}" name="Buyer" dataDxfId="60" totalsRowDxfId="28"/>
    <tableColumn id="5" xr3:uid="{373C43FA-A4CF-4565-97B5-CDF61C8C8B3B}" name="Style " totalsRowDxfId="27"/>
    <tableColumn id="6" xr3:uid="{FC97F4D4-7F18-479E-BDBB-22BFC698DF37}" name="Color" dataDxfId="59" totalsRowDxfId="26"/>
    <tableColumn id="7" xr3:uid="{4F816F72-1074-4863-AC9E-F4544D6F4622}" name="Wash Type" dataDxfId="58" totalsRowDxfId="25"/>
    <tableColumn id="21" xr3:uid="{6E5F3B90-8677-4DA4-A4A0-2C3D29C130D2}" name="Merchandiser" dataDxfId="57" totalsRowDxfId="24"/>
    <tableColumn id="19" xr3:uid="{56212F18-D21E-4D35-858A-CA114E5B0E68}" name="Fabric Suppliers" dataDxfId="56" totalsRowDxfId="23"/>
    <tableColumn id="20" xr3:uid="{9BFFCA00-75F7-492D-817B-72BD85774BDE}" name="Fab Sourcing Executive" dataDxfId="55" totalsRowDxfId="22"/>
    <tableColumn id="8" xr3:uid="{F0D2B4BF-030D-478E-BBB1-B350BE0DC55B}" name="Order Qty" totalsRowFunction="sum" dataDxfId="54" totalsRowDxfId="21">
      <calculatedColumnFormula>RANDBETWEEN(100,5000)</calculatedColumnFormula>
    </tableColumn>
    <tableColumn id="27" xr3:uid="{8A86CB48-EDFB-43D4-8C2F-8FC1DD781C6E}" name="Loading Date" dataDxfId="53" totalsRowDxfId="20">
      <calculatedColumnFormula>Table24[[#This Row],[Delivery Date]]-45</calculatedColumnFormula>
    </tableColumn>
    <tableColumn id="23" xr3:uid="{80A7961B-019B-4AC9-B6A4-9124FE922B7A}" name="Delivery Date" dataDxfId="52" totalsRowDxfId="19">
      <calculatedColumnFormula>RANDBETWEEN(DATE(2021,7,1),DATE(2021,12,1))</calculatedColumnFormula>
    </tableColumn>
    <tableColumn id="9" xr3:uid="{C25A7FF0-8871-4D58-990E-985E9CC53249}" name="Fabric Inhouse Target" dataDxfId="51" totalsRowDxfId="18">
      <calculatedColumnFormula>IF(Table24[[#This Row],[Wash Type]]="Critical",Table24[[#This Row],[Delivery Date]]-45,Table24[[#This Row],[Delivery Date]]-25)</calculatedColumnFormula>
    </tableColumn>
    <tableColumn id="10" xr3:uid="{58D96DF7-2178-4307-A632-1C24B9C51014}" name="Fabric Inhouse Actual" dataDxfId="50" totalsRowDxfId="17">
      <calculatedColumnFormula>RANDBETWEEN(DATE(2021,7,1),DATE(2021,12,1))</calculatedColumnFormula>
    </tableColumn>
    <tableColumn id="24" xr3:uid="{11E6DAF1-5536-474F-9BBC-B69CCBF87FDC}" name="Fabric Delay" dataDxfId="49" totalsRowDxfId="16">
      <calculatedColumnFormula>IF(OR(Table24[[#This Row],[Fabric Inhouse Target]]="",Table24[[#This Row],[Fabric Inhouse Actual]]=""),"",Table24[[#This Row],[Fabric Inhouse Actual]]-Table24[[#This Row],[Fabric Inhouse Target]])</calculatedColumnFormula>
    </tableColumn>
    <tableColumn id="29" xr3:uid="{F533FF13-515A-48FC-B750-B81C0BD0B1F8}" name="Fabric Delay Grade" dataDxfId="38" totalsRowDxfId="15">
      <calculatedColumnFormula>IF(Table24[[#This Row],[Fabric Delay]]&lt;1, "On time","Delay")</calculatedColumnFormula>
    </tableColumn>
    <tableColumn id="22" xr3:uid="{1880DB10-E90C-4E73-BD69-EBC89DF0CEC1}" name="4 point Result" dataDxfId="48" totalsRowDxfId="14"/>
    <tableColumn id="11" xr3:uid="{7D8072F0-A6B6-4624-8A28-15900D0863B2}" name="Production File Target " dataDxfId="47" totalsRowDxfId="13">
      <calculatedColumnFormula>Table24[[#This Row],[Fabric Inhouse Target]]+7</calculatedColumnFormula>
    </tableColumn>
    <tableColumn id="12" xr3:uid="{329F5096-7ED4-43B3-8400-EAE61D920DC2}" name="Production File actual" dataDxfId="46" totalsRowDxfId="12"/>
    <tableColumn id="30" xr3:uid="{7B1CA3E4-18C5-45E7-AFC7-B4A400814A19}" name="Production File Delay" dataDxfId="35" totalsRowDxfId="11"/>
    <tableColumn id="31" xr3:uid="{4E7AFFC7-B7A6-4BE9-BEB1-C3FE7AA98E22}" name="Production File Delay Grade" dataDxfId="32" totalsRowDxfId="10"/>
    <tableColumn id="13" xr3:uid="{874A6FBC-41A9-4499-A865-159FB6C72327}" name="Planned Cutting Date (PCD)" dataDxfId="45" totalsRowDxfId="9">
      <calculatedColumnFormula>Table24[[#This Row],[Loading Date]]-7</calculatedColumnFormula>
    </tableColumn>
    <tableColumn id="14" xr3:uid="{C9383C28-9199-4963-B908-7FF9467587FE}" name="Actual Cutting Date" dataDxfId="44" totalsRowDxfId="8"/>
    <tableColumn id="15" xr3:uid="{B7FC7965-AB15-44FB-A775-2CA30061446D}" name="Cut Qty" dataDxfId="43" totalsRowDxfId="7"/>
    <tableColumn id="16" xr3:uid="{A35EDEFF-9680-44CA-8189-DCBC85376D3A}" name="Cut %" dataDxfId="42" totalsRowDxfId="6" dataCellStyle="Percent">
      <calculatedColumnFormula>Table24[[#This Row],[Cut Qty]]/Table24[[#This Row],[Order Qty]]</calculatedColumnFormula>
    </tableColumn>
    <tableColumn id="25" xr3:uid="{EAF2FDDC-F985-411B-AA5A-C661B41AC746}" name="Ex factory Date" dataDxfId="36" totalsRowDxfId="5" dataCellStyle="Percent"/>
    <tableColumn id="17" xr3:uid="{B826BB49-FDED-48D4-8145-139FAF0B3F9A}" name="Ship Qty" dataDxfId="41" totalsRowDxfId="4"/>
    <tableColumn id="26" xr3:uid="{36A33980-152C-4022-9185-3A54494C7838}" name="Lead time (Cut to Ex factory)" dataDxfId="40" totalsRowDxfId="3">
      <calculatedColumnFormula>Table24[[#This Row],[Ex factory Date]]-Table24[[#This Row],[Planned Cutting Date (PCD)]]</calculatedColumnFormula>
    </tableColumn>
    <tableColumn id="18" xr3:uid="{5FEBC091-F2B7-46D6-8174-2C9A1C8EC40E}" name="Ship %" totalsRowFunction="count" dataDxfId="39" totalsRowDxfId="2" dataCellStyle="Percent">
      <calculatedColumnFormula>Table24[[#This Row],[Ship Qty]]/Table24[[#This Row],[Cut Qty]]</calculatedColumnFormula>
    </tableColumn>
    <tableColumn id="28" xr3:uid="{C3CDFAD7-814F-4382-A195-7F11D7F9399C}" name="Lead Time Grade" dataDxfId="37" totalsRowDxfId="1" dataCellStyle="Percent">
      <calculatedColumnFormula>IF(Table24[[#This Row],[Lead time (Cut to Ex factory)]]&lt;45,"Less than 45",IF(AND(Table24[[#This Row],[Lead time (Cut to Ex factory)]]&gt;45,Table24[[#This Row],[Lead time (Cut to Ex factory)]]&lt;61),"45 to 60 days","greater than 65 days"))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lanned_Cutting_Date__PCD" xr10:uid="{255F6B04-1303-44A9-9087-A3AEDE7815F5}" sourceName="Planned Cutting Date (PCD)">
  <pivotTables>
    <pivotTable tabId="11" name="PivotTable3"/>
    <pivotTable tabId="11" name="PivotTable4"/>
  </pivotTables>
  <state minimalRefreshVersion="6" lastRefreshVersion="6" pivotCacheId="1506317598" filterType="unknown">
    <bounds startDate="2021-01-01T00:00:00" endDate="202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lanned_Cutting_Date__PCD1" xr10:uid="{CA8FF586-7623-4A80-83D5-905F20E414BF}" sourceName="Planned Cutting Date (PCD)">
  <pivotTables>
    <pivotTable tabId="12" name="PivotTable5"/>
  </pivotTables>
  <state minimalRefreshVersion="6" lastRefreshVersion="6" pivotCacheId="288746326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lanned Cutting Date (PCD)" xr10:uid="{08839961-E112-4987-8F1B-14630687F674}" cache="NativeTimeline_Planned_Cutting_Date__PCD" caption="Planned Cutting Date (PCD)" level="2" selectionLevel="2" scrollPosition="2021-06-0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lanned Cutting Date (PCD) 1" xr10:uid="{5A6CF955-6433-42C6-AD30-3F822086743B}" cache="NativeTimeline_Planned_Cutting_Date__PCD1" caption="Planned Cutting Date (PCD)" level="2" selectionLevel="2" scrollPosition="2021-06-07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8F73-26CF-4AA4-AA03-166391DAA961}">
  <dimension ref="B1:M18"/>
  <sheetViews>
    <sheetView topLeftCell="A10" zoomScale="110" zoomScaleNormal="110" workbookViewId="0">
      <selection activeCell="G16" sqref="G16"/>
    </sheetView>
  </sheetViews>
  <sheetFormatPr defaultRowHeight="14.5" x14ac:dyDescent="0.35"/>
  <cols>
    <col min="1" max="1" width="1.453125" customWidth="1"/>
    <col min="4" max="4" width="16.7265625" customWidth="1"/>
    <col min="7" max="7" width="11" customWidth="1"/>
    <col min="8" max="8" width="10.08984375" bestFit="1" customWidth="1"/>
    <col min="10" max="10" width="10.08984375" bestFit="1" customWidth="1"/>
    <col min="11" max="11" width="10.26953125" customWidth="1"/>
    <col min="12" max="12" width="4.90625" customWidth="1"/>
    <col min="13" max="13" width="55.7265625" bestFit="1" customWidth="1"/>
  </cols>
  <sheetData>
    <row r="1" spans="2:13" ht="19" thickBot="1" x14ac:dyDescent="0.5">
      <c r="B1" s="91" t="s">
        <v>0</v>
      </c>
      <c r="C1" s="92"/>
      <c r="D1" s="92"/>
      <c r="E1" s="92"/>
      <c r="F1" s="92"/>
      <c r="G1" s="92"/>
      <c r="H1" s="92"/>
      <c r="I1" s="92"/>
      <c r="J1" s="92"/>
      <c r="K1" s="93"/>
    </row>
    <row r="2" spans="2:13" ht="28" customHeight="1" x14ac:dyDescent="0.5">
      <c r="B2" s="94" t="s">
        <v>1</v>
      </c>
      <c r="C2" s="96" t="s">
        <v>2</v>
      </c>
      <c r="D2" s="96" t="s">
        <v>3</v>
      </c>
      <c r="E2" s="96" t="s">
        <v>4</v>
      </c>
      <c r="F2" s="96" t="s">
        <v>5</v>
      </c>
      <c r="G2" s="96" t="s">
        <v>6</v>
      </c>
      <c r="H2" s="96" t="s">
        <v>11</v>
      </c>
      <c r="I2" s="96"/>
      <c r="J2" s="98" t="s">
        <v>12</v>
      </c>
      <c r="K2" s="99"/>
      <c r="L2" s="30" t="s">
        <v>32</v>
      </c>
    </row>
    <row r="3" spans="2:13" ht="16.5" customHeight="1" thickBot="1" x14ac:dyDescent="0.5">
      <c r="B3" s="95"/>
      <c r="C3" s="97"/>
      <c r="D3" s="97"/>
      <c r="E3" s="97"/>
      <c r="F3" s="97"/>
      <c r="G3" s="97"/>
      <c r="H3" s="11" t="s">
        <v>7</v>
      </c>
      <c r="I3" s="11" t="s">
        <v>8</v>
      </c>
      <c r="J3" s="11" t="s">
        <v>9</v>
      </c>
      <c r="K3" s="12" t="s">
        <v>10</v>
      </c>
      <c r="L3" s="28"/>
      <c r="M3" s="31" t="s">
        <v>34</v>
      </c>
    </row>
    <row r="4" spans="2:13" x14ac:dyDescent="0.35">
      <c r="B4" s="8">
        <v>1</v>
      </c>
      <c r="C4" s="86" t="s">
        <v>15</v>
      </c>
      <c r="D4" s="9" t="s">
        <v>27</v>
      </c>
      <c r="E4" s="86" t="s">
        <v>14</v>
      </c>
      <c r="F4" s="9" t="s">
        <v>16</v>
      </c>
      <c r="G4" s="9">
        <v>1000</v>
      </c>
      <c r="H4" s="13">
        <v>44365</v>
      </c>
      <c r="I4" s="9"/>
      <c r="J4" s="13">
        <v>44395</v>
      </c>
      <c r="K4" s="10"/>
      <c r="M4" s="31" t="s">
        <v>36</v>
      </c>
    </row>
    <row r="5" spans="2:13" x14ac:dyDescent="0.35">
      <c r="B5" s="4">
        <v>2</v>
      </c>
      <c r="C5" s="87"/>
      <c r="D5" s="1" t="s">
        <v>13</v>
      </c>
      <c r="E5" s="87"/>
      <c r="F5" s="1" t="s">
        <v>17</v>
      </c>
      <c r="G5" s="1">
        <v>2000</v>
      </c>
      <c r="H5" s="13">
        <v>44366</v>
      </c>
      <c r="I5" s="1"/>
      <c r="J5" s="13">
        <v>44396</v>
      </c>
      <c r="K5" s="3"/>
      <c r="M5" s="31" t="s">
        <v>35</v>
      </c>
    </row>
    <row r="6" spans="2:13" x14ac:dyDescent="0.35">
      <c r="B6" s="4">
        <v>3</v>
      </c>
      <c r="C6" s="1" t="s">
        <v>23</v>
      </c>
      <c r="D6" s="1" t="s">
        <v>18</v>
      </c>
      <c r="E6" s="2" t="s">
        <v>19</v>
      </c>
      <c r="F6" s="1" t="s">
        <v>20</v>
      </c>
      <c r="G6" s="1">
        <v>1000</v>
      </c>
      <c r="H6" s="13">
        <v>44367</v>
      </c>
      <c r="I6" s="1"/>
      <c r="J6" s="13">
        <v>44397</v>
      </c>
      <c r="K6" s="3"/>
    </row>
    <row r="7" spans="2:13" x14ac:dyDescent="0.35">
      <c r="B7" s="4">
        <v>4</v>
      </c>
      <c r="C7" s="87" t="s">
        <v>24</v>
      </c>
      <c r="D7" s="1" t="s">
        <v>21</v>
      </c>
      <c r="E7" s="89" t="s">
        <v>25</v>
      </c>
      <c r="F7" s="1" t="s">
        <v>17</v>
      </c>
      <c r="G7" s="1">
        <v>3000</v>
      </c>
      <c r="H7" s="13">
        <v>44368</v>
      </c>
      <c r="I7" s="1"/>
      <c r="J7" s="13">
        <v>44398</v>
      </c>
      <c r="K7" s="3"/>
    </row>
    <row r="8" spans="2:13" ht="15" thickBot="1" x14ac:dyDescent="0.4">
      <c r="B8" s="5">
        <v>5</v>
      </c>
      <c r="C8" s="88"/>
      <c r="D8" s="6" t="s">
        <v>22</v>
      </c>
      <c r="E8" s="90"/>
      <c r="F8" s="6" t="s">
        <v>26</v>
      </c>
      <c r="G8" s="6">
        <v>4000</v>
      </c>
      <c r="H8" s="14">
        <v>44369</v>
      </c>
      <c r="I8" s="6"/>
      <c r="J8" s="14">
        <v>44399</v>
      </c>
      <c r="K8" s="7"/>
    </row>
    <row r="11" spans="2:13" ht="15" thickBot="1" x14ac:dyDescent="0.4"/>
    <row r="12" spans="2:13" ht="19" thickBot="1" x14ac:dyDescent="0.5">
      <c r="B12" s="15"/>
      <c r="C12" s="16"/>
      <c r="D12" s="16"/>
      <c r="E12" s="16"/>
      <c r="F12" s="17" t="s">
        <v>0</v>
      </c>
      <c r="G12" s="16"/>
      <c r="H12" s="16"/>
      <c r="I12" s="16"/>
      <c r="J12" s="16"/>
      <c r="K12" s="18"/>
    </row>
    <row r="13" spans="2:13" ht="46" thickBot="1" x14ac:dyDescent="0.6">
      <c r="B13" s="24" t="s">
        <v>1</v>
      </c>
      <c r="C13" s="25" t="s">
        <v>2</v>
      </c>
      <c r="D13" s="25" t="s">
        <v>3</v>
      </c>
      <c r="E13" s="25" t="s">
        <v>4</v>
      </c>
      <c r="F13" s="25" t="s">
        <v>5</v>
      </c>
      <c r="G13" s="25" t="s">
        <v>6</v>
      </c>
      <c r="H13" s="26" t="s">
        <v>28</v>
      </c>
      <c r="I13" s="26" t="s">
        <v>29</v>
      </c>
      <c r="J13" s="26" t="s">
        <v>30</v>
      </c>
      <c r="K13" s="27" t="s">
        <v>31</v>
      </c>
      <c r="L13" s="29" t="s">
        <v>33</v>
      </c>
    </row>
    <row r="14" spans="2:13" x14ac:dyDescent="0.35">
      <c r="B14" s="8">
        <v>1</v>
      </c>
      <c r="C14" s="19" t="s">
        <v>15</v>
      </c>
      <c r="D14" s="9" t="s">
        <v>27</v>
      </c>
      <c r="E14" s="19" t="s">
        <v>14</v>
      </c>
      <c r="F14" s="9" t="s">
        <v>16</v>
      </c>
      <c r="G14" s="9">
        <v>1000</v>
      </c>
      <c r="H14" s="13">
        <v>44365</v>
      </c>
      <c r="I14" s="9"/>
      <c r="J14" s="13">
        <v>44395</v>
      </c>
      <c r="K14" s="10"/>
    </row>
    <row r="15" spans="2:13" x14ac:dyDescent="0.35">
      <c r="B15" s="4">
        <v>2</v>
      </c>
      <c r="C15" s="19" t="s">
        <v>15</v>
      </c>
      <c r="D15" s="1" t="s">
        <v>13</v>
      </c>
      <c r="E15" s="19" t="s">
        <v>14</v>
      </c>
      <c r="F15" s="1" t="s">
        <v>17</v>
      </c>
      <c r="G15" s="1">
        <v>2000</v>
      </c>
      <c r="H15" s="13">
        <v>44366</v>
      </c>
      <c r="I15" s="1"/>
      <c r="J15" s="13">
        <v>44396</v>
      </c>
      <c r="K15" s="3"/>
    </row>
    <row r="16" spans="2:13" x14ac:dyDescent="0.35">
      <c r="B16" s="4">
        <v>3</v>
      </c>
      <c r="C16" s="1" t="s">
        <v>23</v>
      </c>
      <c r="D16" s="1" t="s">
        <v>18</v>
      </c>
      <c r="E16" s="2" t="s">
        <v>19</v>
      </c>
      <c r="F16" s="1" t="s">
        <v>20</v>
      </c>
      <c r="G16" s="1">
        <v>1000</v>
      </c>
      <c r="H16" s="13">
        <v>44367</v>
      </c>
      <c r="I16" s="1"/>
      <c r="J16" s="13">
        <v>44397</v>
      </c>
      <c r="K16" s="3"/>
    </row>
    <row r="17" spans="2:11" x14ac:dyDescent="0.35">
      <c r="B17" s="4">
        <v>4</v>
      </c>
      <c r="C17" s="20" t="s">
        <v>24</v>
      </c>
      <c r="D17" s="1" t="s">
        <v>21</v>
      </c>
      <c r="E17" s="22" t="s">
        <v>25</v>
      </c>
      <c r="F17" s="1" t="s">
        <v>17</v>
      </c>
      <c r="G17" s="1">
        <v>3000</v>
      </c>
      <c r="H17" s="13">
        <v>44368</v>
      </c>
      <c r="I17" s="1"/>
      <c r="J17" s="13">
        <v>44398</v>
      </c>
      <c r="K17" s="3"/>
    </row>
    <row r="18" spans="2:11" ht="15" thickBot="1" x14ac:dyDescent="0.4">
      <c r="B18" s="5">
        <v>5</v>
      </c>
      <c r="C18" s="21" t="s">
        <v>24</v>
      </c>
      <c r="D18" s="6" t="s">
        <v>22</v>
      </c>
      <c r="E18" s="23" t="s">
        <v>25</v>
      </c>
      <c r="F18" s="6" t="s">
        <v>26</v>
      </c>
      <c r="G18" s="6">
        <v>4000</v>
      </c>
      <c r="H18" s="14">
        <v>44369</v>
      </c>
      <c r="I18" s="6"/>
      <c r="J18" s="14">
        <v>44399</v>
      </c>
      <c r="K18" s="7"/>
    </row>
  </sheetData>
  <autoFilter ref="B13:M13" xr:uid="{66F38F73-26CF-4AA4-AA03-166391DAA961}"/>
  <mergeCells count="13">
    <mergeCell ref="E4:E5"/>
    <mergeCell ref="C4:C5"/>
    <mergeCell ref="C7:C8"/>
    <mergeCell ref="E7:E8"/>
    <mergeCell ref="B1:K1"/>
    <mergeCell ref="B2:B3"/>
    <mergeCell ref="C2:C3"/>
    <mergeCell ref="D2:D3"/>
    <mergeCell ref="E2:E3"/>
    <mergeCell ref="F2:F3"/>
    <mergeCell ref="G2:G3"/>
    <mergeCell ref="H2:I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C9F4-A7ED-4B7C-A76D-EBB839116796}">
  <dimension ref="B1:U16"/>
  <sheetViews>
    <sheetView tabSelected="1" workbookViewId="0">
      <selection activeCell="G18" sqref="G18"/>
    </sheetView>
  </sheetViews>
  <sheetFormatPr defaultRowHeight="14.5" x14ac:dyDescent="0.35"/>
  <cols>
    <col min="1" max="1" width="1.453125" customWidth="1"/>
    <col min="3" max="3" width="9" customWidth="1"/>
    <col min="4" max="4" width="16.7265625" customWidth="1"/>
    <col min="7" max="7" width="11.1796875" customWidth="1"/>
    <col min="8" max="8" width="20.81640625" customWidth="1"/>
    <col min="9" max="9" width="20.7265625" customWidth="1"/>
    <col min="10" max="10" width="21.6328125" customWidth="1"/>
    <col min="11" max="11" width="20.90625" customWidth="1"/>
    <col min="12" max="12" width="25.81640625" customWidth="1"/>
    <col min="13" max="13" width="19.08984375" customWidth="1"/>
    <col min="14" max="14" width="9.1796875" customWidth="1"/>
    <col min="15" max="15" width="7.6328125" customWidth="1"/>
    <col min="16" max="16" width="9.81640625" customWidth="1"/>
  </cols>
  <sheetData>
    <row r="1" spans="2:21" ht="15" thickBot="1" x14ac:dyDescent="0.4"/>
    <row r="2" spans="2:21" ht="18.5" x14ac:dyDescent="0.45">
      <c r="B2" s="36"/>
      <c r="C2" s="37"/>
      <c r="D2" s="37"/>
      <c r="E2" s="37"/>
      <c r="F2" s="38"/>
      <c r="G2" s="37"/>
      <c r="H2" s="38" t="s">
        <v>41</v>
      </c>
      <c r="I2" s="37"/>
      <c r="J2" s="37"/>
      <c r="K2" s="37"/>
      <c r="L2" s="37"/>
      <c r="M2" s="37"/>
      <c r="N2" s="43"/>
      <c r="O2" s="43"/>
      <c r="P2" s="43"/>
      <c r="Q2" s="44"/>
    </row>
    <row r="3" spans="2:21" s="67" customFormat="1" x14ac:dyDescent="0.35">
      <c r="B3" s="64" t="s">
        <v>1</v>
      </c>
      <c r="C3" s="40" t="s">
        <v>2</v>
      </c>
      <c r="D3" s="40" t="s">
        <v>3</v>
      </c>
      <c r="E3" s="40" t="s">
        <v>4</v>
      </c>
      <c r="F3" s="40" t="s">
        <v>5</v>
      </c>
      <c r="G3" s="40" t="s">
        <v>6</v>
      </c>
      <c r="H3" s="41" t="s">
        <v>28</v>
      </c>
      <c r="I3" s="41" t="s">
        <v>29</v>
      </c>
      <c r="J3" s="41" t="s">
        <v>30</v>
      </c>
      <c r="K3" s="41" t="s">
        <v>31</v>
      </c>
      <c r="L3" s="41" t="s">
        <v>42</v>
      </c>
      <c r="M3" s="41" t="s">
        <v>43</v>
      </c>
      <c r="N3" s="41" t="s">
        <v>37</v>
      </c>
      <c r="O3" s="41" t="s">
        <v>38</v>
      </c>
      <c r="P3" s="41" t="s">
        <v>39</v>
      </c>
      <c r="Q3" s="42" t="s">
        <v>40</v>
      </c>
    </row>
    <row r="4" spans="2:21" x14ac:dyDescent="0.35">
      <c r="B4" s="35">
        <v>1</v>
      </c>
      <c r="C4" s="20" t="s">
        <v>15</v>
      </c>
      <c r="D4" s="1" t="s">
        <v>27</v>
      </c>
      <c r="E4" s="20" t="s">
        <v>14</v>
      </c>
      <c r="F4" s="1" t="s">
        <v>16</v>
      </c>
      <c r="G4" s="1">
        <v>1000</v>
      </c>
      <c r="H4" s="39">
        <v>44365</v>
      </c>
      <c r="I4" s="1"/>
      <c r="J4" s="39">
        <v>44395</v>
      </c>
      <c r="K4" s="1"/>
      <c r="L4" s="1"/>
      <c r="M4" s="1"/>
      <c r="N4" s="1">
        <v>100</v>
      </c>
      <c r="O4" s="69">
        <f>Table1[[#This Row],[Cut Qty]]/Table1[[#This Row],[Order Qty]]</f>
        <v>0.1</v>
      </c>
      <c r="P4" s="1"/>
      <c r="Q4" s="65"/>
      <c r="U4" t="e">
        <f>T4/R4</f>
        <v>#DIV/0!</v>
      </c>
    </row>
    <row r="5" spans="2:21" x14ac:dyDescent="0.35">
      <c r="B5" s="35">
        <v>2</v>
      </c>
      <c r="C5" s="20" t="s">
        <v>15</v>
      </c>
      <c r="D5" s="1" t="s">
        <v>13</v>
      </c>
      <c r="E5" s="20" t="s">
        <v>14</v>
      </c>
      <c r="F5" s="1" t="s">
        <v>17</v>
      </c>
      <c r="G5" s="1">
        <v>2000</v>
      </c>
      <c r="H5" s="39">
        <v>44366</v>
      </c>
      <c r="I5" s="1"/>
      <c r="J5" s="39">
        <v>44396</v>
      </c>
      <c r="K5" s="1"/>
      <c r="L5" s="1"/>
      <c r="M5" s="1"/>
      <c r="N5" s="1"/>
      <c r="O5" s="1">
        <f>Table1[[#This Row],[Cut Qty]]/Table1[[#This Row],[Order Qty]]</f>
        <v>0</v>
      </c>
      <c r="P5" s="1"/>
      <c r="Q5" s="65"/>
    </row>
    <row r="6" spans="2:21" x14ac:dyDescent="0.35">
      <c r="B6" s="35">
        <v>3</v>
      </c>
      <c r="C6" s="1" t="s">
        <v>23</v>
      </c>
      <c r="D6" s="1" t="s">
        <v>18</v>
      </c>
      <c r="E6" s="2" t="s">
        <v>19</v>
      </c>
      <c r="F6" s="1" t="s">
        <v>20</v>
      </c>
      <c r="G6" s="1">
        <v>1000</v>
      </c>
      <c r="H6" s="39">
        <v>44367</v>
      </c>
      <c r="I6" s="1"/>
      <c r="J6" s="39">
        <v>44397</v>
      </c>
      <c r="K6" s="1"/>
      <c r="L6" s="1"/>
      <c r="M6" s="1"/>
      <c r="N6" s="1"/>
      <c r="O6" s="1">
        <f>Table1[[#This Row],[Cut Qty]]/Table1[[#This Row],[Order Qty]]</f>
        <v>0</v>
      </c>
      <c r="P6" s="1"/>
      <c r="Q6" s="65"/>
    </row>
    <row r="7" spans="2:21" x14ac:dyDescent="0.35">
      <c r="B7" s="35">
        <v>4</v>
      </c>
      <c r="C7" s="20" t="s">
        <v>24</v>
      </c>
      <c r="D7" s="1" t="s">
        <v>21</v>
      </c>
      <c r="E7" s="22" t="s">
        <v>25</v>
      </c>
      <c r="F7" s="1" t="s">
        <v>17</v>
      </c>
      <c r="G7" s="1">
        <v>3000</v>
      </c>
      <c r="H7" s="39">
        <v>44368</v>
      </c>
      <c r="I7" s="1"/>
      <c r="J7" s="39">
        <v>44398</v>
      </c>
      <c r="K7" s="1"/>
      <c r="L7" s="1"/>
      <c r="M7" s="1"/>
      <c r="N7" s="1"/>
      <c r="O7" s="1">
        <f>Table1[[#This Row],[Cut Qty]]/Table1[[#This Row],[Order Qty]]</f>
        <v>0</v>
      </c>
      <c r="P7" s="1"/>
      <c r="Q7" s="65"/>
    </row>
    <row r="8" spans="2:21" x14ac:dyDescent="0.35">
      <c r="B8" s="45">
        <v>5</v>
      </c>
      <c r="C8" s="32" t="s">
        <v>24</v>
      </c>
      <c r="D8" s="33" t="s">
        <v>22</v>
      </c>
      <c r="E8" s="34" t="s">
        <v>25</v>
      </c>
      <c r="F8" s="33" t="s">
        <v>26</v>
      </c>
      <c r="G8" s="33">
        <v>4000</v>
      </c>
      <c r="H8" s="46">
        <v>44369</v>
      </c>
      <c r="I8" s="33"/>
      <c r="J8" s="46">
        <v>44399</v>
      </c>
      <c r="K8" s="33"/>
      <c r="L8" s="33"/>
      <c r="M8" s="33"/>
      <c r="N8" s="33"/>
      <c r="O8" s="33">
        <f>Table1[[#This Row],[Cut Qty]]/Table1[[#This Row],[Order Qty]]</f>
        <v>0</v>
      </c>
      <c r="P8" s="33"/>
      <c r="Q8" s="66"/>
    </row>
    <row r="9" spans="2:21" x14ac:dyDescent="0.35">
      <c r="B9" s="45" t="s">
        <v>98</v>
      </c>
      <c r="C9" s="32"/>
      <c r="D9" s="33"/>
      <c r="E9" s="68"/>
      <c r="F9" s="33"/>
      <c r="G9" s="33">
        <f>SUBTOTAL(101,Table1[Order Qty])</f>
        <v>2200</v>
      </c>
      <c r="H9" s="33"/>
      <c r="I9" s="33"/>
      <c r="J9" s="33"/>
      <c r="K9" s="33"/>
      <c r="L9" s="33"/>
      <c r="M9" s="33"/>
      <c r="N9" s="33"/>
      <c r="O9" s="101">
        <f>SUBTOTAL(101,Table1[Cut %])</f>
        <v>0.02</v>
      </c>
      <c r="P9" s="33"/>
      <c r="Q9" s="66">
        <f>SUBTOTAL(103,Table1[Ship %])</f>
        <v>0</v>
      </c>
    </row>
    <row r="14" spans="2:21" x14ac:dyDescent="0.35">
      <c r="G14" s="100" t="s">
        <v>138</v>
      </c>
    </row>
    <row r="15" spans="2:21" x14ac:dyDescent="0.35">
      <c r="G15" s="100" t="s">
        <v>139</v>
      </c>
    </row>
    <row r="16" spans="2:21" x14ac:dyDescent="0.35">
      <c r="G16" s="100" t="s">
        <v>140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F1A-33E1-4C14-8F53-49C7D6994914}">
  <dimension ref="B1:T8"/>
  <sheetViews>
    <sheetView topLeftCell="E1" workbookViewId="0">
      <selection activeCell="S4" sqref="S4"/>
    </sheetView>
  </sheetViews>
  <sheetFormatPr defaultRowHeight="14.5" x14ac:dyDescent="0.35"/>
  <cols>
    <col min="1" max="1" width="1.453125" customWidth="1"/>
    <col min="2" max="2" width="6.453125" customWidth="1"/>
    <col min="3" max="3" width="9" customWidth="1"/>
    <col min="4" max="4" width="10.453125" customWidth="1"/>
    <col min="5" max="5" width="10.6328125" customWidth="1"/>
    <col min="6" max="6" width="9.54296875" customWidth="1"/>
    <col min="8" max="8" width="9.7265625" customWidth="1"/>
    <col min="9" max="9" width="11.1796875" customWidth="1"/>
    <col min="10" max="10" width="12.7265625" customWidth="1"/>
    <col min="11" max="11" width="9.81640625" customWidth="1"/>
    <col min="12" max="12" width="10.81640625" customWidth="1"/>
    <col min="13" max="13" width="10.453125" customWidth="1"/>
    <col min="14" max="14" width="13.36328125" customWidth="1"/>
    <col min="15" max="15" width="10.7265625" customWidth="1"/>
    <col min="16" max="16" width="6.36328125" customWidth="1"/>
    <col min="17" max="17" width="7.6328125" customWidth="1"/>
    <col min="18" max="19" width="9.81640625" customWidth="1"/>
  </cols>
  <sheetData>
    <row r="1" spans="2:20" ht="15" thickBot="1" x14ac:dyDescent="0.4">
      <c r="I1" t="s">
        <v>58</v>
      </c>
    </row>
    <row r="2" spans="2:20" ht="18.5" x14ac:dyDescent="0.45">
      <c r="B2" s="36"/>
      <c r="C2" s="37"/>
      <c r="D2" s="37"/>
      <c r="E2" s="37"/>
      <c r="F2" s="37"/>
      <c r="G2" s="38"/>
      <c r="H2" s="38"/>
      <c r="I2" s="37"/>
      <c r="J2" s="38" t="s">
        <v>41</v>
      </c>
      <c r="K2" s="37"/>
      <c r="L2" s="37"/>
      <c r="M2" s="37"/>
      <c r="N2" s="37"/>
      <c r="O2" s="37"/>
      <c r="P2" s="43"/>
      <c r="Q2" s="43"/>
      <c r="R2" s="43"/>
      <c r="S2" s="43"/>
      <c r="T2" s="44"/>
    </row>
    <row r="3" spans="2:20" s="47" customFormat="1" ht="41" customHeight="1" x14ac:dyDescent="0.35">
      <c r="B3" s="48" t="s">
        <v>1</v>
      </c>
      <c r="C3" s="41" t="s">
        <v>2</v>
      </c>
      <c r="D3" s="41" t="s">
        <v>3</v>
      </c>
      <c r="E3" s="41" t="s">
        <v>45</v>
      </c>
      <c r="F3" s="41" t="s">
        <v>4</v>
      </c>
      <c r="G3" s="41" t="s">
        <v>5</v>
      </c>
      <c r="H3" s="41" t="s">
        <v>44</v>
      </c>
      <c r="I3" s="41" t="s">
        <v>6</v>
      </c>
      <c r="J3" s="41" t="s">
        <v>28</v>
      </c>
      <c r="K3" s="41" t="s">
        <v>29</v>
      </c>
      <c r="L3" s="41" t="s">
        <v>30</v>
      </c>
      <c r="M3" s="41" t="s">
        <v>31</v>
      </c>
      <c r="N3" s="41" t="s">
        <v>42</v>
      </c>
      <c r="O3" s="41" t="s">
        <v>43</v>
      </c>
      <c r="P3" s="41" t="s">
        <v>37</v>
      </c>
      <c r="Q3" s="41" t="s">
        <v>38</v>
      </c>
      <c r="R3" s="41" t="s">
        <v>39</v>
      </c>
      <c r="S3" s="42" t="s">
        <v>126</v>
      </c>
      <c r="T3" s="42" t="s">
        <v>40</v>
      </c>
    </row>
    <row r="4" spans="2:20" x14ac:dyDescent="0.35">
      <c r="B4" s="35">
        <v>1</v>
      </c>
      <c r="C4" s="20" t="s">
        <v>15</v>
      </c>
      <c r="D4" s="1" t="s">
        <v>27</v>
      </c>
      <c r="E4" s="1" t="s">
        <v>47</v>
      </c>
      <c r="F4" s="20" t="s">
        <v>14</v>
      </c>
      <c r="G4" s="1" t="s">
        <v>16</v>
      </c>
      <c r="H4" s="1" t="s">
        <v>54</v>
      </c>
      <c r="I4" s="1">
        <v>1000</v>
      </c>
      <c r="J4" s="39">
        <v>44365</v>
      </c>
      <c r="K4" s="1"/>
      <c r="L4" s="39">
        <v>44395</v>
      </c>
      <c r="M4" s="1"/>
      <c r="N4" s="39">
        <f>IF(Table2[[#This Row],[Wash Type]]="Normal",Table2[[#This Row],[Fabric Inhouse Target]]+7,IF(Table2[[#This Row],[Wash Type]]="Critical",Table2[[#This Row],[Fabric Inhouse Target]]+10,Table2[[#This Row],[Fabric Inhouse Target]]))</f>
        <v>44365</v>
      </c>
      <c r="O4" s="1"/>
      <c r="P4" s="1">
        <v>987</v>
      </c>
      <c r="Q4" s="49">
        <f>Table2[[#This Row],[Cut Qty]]/Table2[[#This Row],[Order Qty]]</f>
        <v>0.98699999999999999</v>
      </c>
      <c r="R4" s="1">
        <v>976</v>
      </c>
      <c r="S4" s="65"/>
      <c r="T4" s="51">
        <f>Table2[[#This Row],[Ship Qty]]/Table2[[#This Row],[Cut Qty]]</f>
        <v>0.98885511651469093</v>
      </c>
    </row>
    <row r="5" spans="2:20" x14ac:dyDescent="0.35">
      <c r="B5" s="35">
        <v>2</v>
      </c>
      <c r="C5" s="20" t="s">
        <v>15</v>
      </c>
      <c r="D5" s="1" t="s">
        <v>13</v>
      </c>
      <c r="E5" s="1" t="s">
        <v>121</v>
      </c>
      <c r="F5" s="20" t="s">
        <v>14</v>
      </c>
      <c r="G5" s="1" t="s">
        <v>17</v>
      </c>
      <c r="H5" s="1" t="s">
        <v>54</v>
      </c>
      <c r="I5" s="1">
        <v>2000</v>
      </c>
      <c r="J5" s="39">
        <v>44366</v>
      </c>
      <c r="K5" s="1"/>
      <c r="L5" s="39">
        <v>44396</v>
      </c>
      <c r="M5" s="1"/>
      <c r="N5" s="39">
        <f>IF(Table2[[#This Row],[Wash Type]]="Normal",Table2[[#This Row],[Fabric Inhouse Target]]+7,IF(Table2[[#This Row],[Wash Type]]="Critical",Table2[[#This Row],[Fabric Inhouse Target]]+10,Table2[[#This Row],[Fabric Inhouse Target]]))</f>
        <v>44366</v>
      </c>
      <c r="O5" s="1"/>
      <c r="P5" s="1">
        <v>2023</v>
      </c>
      <c r="Q5" s="49">
        <f>Table2[[#This Row],[Cut Qty]]/Table2[[#This Row],[Order Qty]]</f>
        <v>1.0115000000000001</v>
      </c>
      <c r="R5" s="1">
        <v>2000</v>
      </c>
      <c r="S5" s="65"/>
      <c r="T5" s="51">
        <f>Table2[[#This Row],[Ship Qty]]/Table2[[#This Row],[Cut Qty]]</f>
        <v>0.98863074641621351</v>
      </c>
    </row>
    <row r="6" spans="2:20" x14ac:dyDescent="0.35">
      <c r="B6" s="35">
        <v>3</v>
      </c>
      <c r="C6" s="1" t="s">
        <v>23</v>
      </c>
      <c r="D6" s="1" t="s">
        <v>18</v>
      </c>
      <c r="E6" s="1" t="s">
        <v>48</v>
      </c>
      <c r="F6" s="2" t="s">
        <v>19</v>
      </c>
      <c r="G6" s="1" t="s">
        <v>20</v>
      </c>
      <c r="H6" s="1" t="s">
        <v>56</v>
      </c>
      <c r="I6" s="1">
        <v>1000</v>
      </c>
      <c r="J6" s="39">
        <v>44367</v>
      </c>
      <c r="K6" s="1"/>
      <c r="L6" s="39">
        <v>44397</v>
      </c>
      <c r="M6" s="1"/>
      <c r="N6" s="39">
        <f>IF(Table2[[#This Row],[Wash Type]]="Normal",Table2[[#This Row],[Fabric Inhouse Target]]+7,IF(Table2[[#This Row],[Wash Type]]="Critical",Table2[[#This Row],[Fabric Inhouse Target]]+10,Table2[[#This Row],[Fabric Inhouse Target]]))</f>
        <v>44377</v>
      </c>
      <c r="O6" s="1"/>
      <c r="P6" s="1">
        <v>1023</v>
      </c>
      <c r="Q6" s="49">
        <f>Table2[[#This Row],[Cut Qty]]/Table2[[#This Row],[Order Qty]]</f>
        <v>1.0229999999999999</v>
      </c>
      <c r="R6" s="1">
        <v>1000</v>
      </c>
      <c r="S6" s="65"/>
      <c r="T6" s="51">
        <f>Table2[[#This Row],[Ship Qty]]/Table2[[#This Row],[Cut Qty]]</f>
        <v>0.97751710654936463</v>
      </c>
    </row>
    <row r="7" spans="2:20" x14ac:dyDescent="0.35">
      <c r="B7" s="35">
        <v>4</v>
      </c>
      <c r="C7" s="20" t="s">
        <v>24</v>
      </c>
      <c r="D7" s="1" t="s">
        <v>21</v>
      </c>
      <c r="E7" s="1" t="s">
        <v>121</v>
      </c>
      <c r="F7" s="22" t="s">
        <v>25</v>
      </c>
      <c r="G7" s="1" t="s">
        <v>17</v>
      </c>
      <c r="H7" s="1" t="s">
        <v>55</v>
      </c>
      <c r="I7" s="1">
        <v>3000</v>
      </c>
      <c r="J7" s="39">
        <v>44368</v>
      </c>
      <c r="K7" s="1"/>
      <c r="L7" s="39">
        <v>44398</v>
      </c>
      <c r="M7" s="1"/>
      <c r="N7" s="39">
        <f>IF(Table2[[#This Row],[Wash Type]]="Normal",Table2[[#This Row],[Fabric Inhouse Target]]+7,IF(Table2[[#This Row],[Wash Type]]="Critical",Table2[[#This Row],[Fabric Inhouse Target]]+10,Table2[[#This Row],[Fabric Inhouse Target]]))</f>
        <v>44375</v>
      </c>
      <c r="O7" s="1"/>
      <c r="P7" s="1">
        <v>2500</v>
      </c>
      <c r="Q7" s="49">
        <f>Table2[[#This Row],[Cut Qty]]/Table2[[#This Row],[Order Qty]]</f>
        <v>0.83333333333333337</v>
      </c>
      <c r="R7" s="1">
        <v>2456</v>
      </c>
      <c r="S7" s="65"/>
      <c r="T7" s="51">
        <f>Table2[[#This Row],[Ship Qty]]/Table2[[#This Row],[Cut Qty]]</f>
        <v>0.98240000000000005</v>
      </c>
    </row>
    <row r="8" spans="2:20" x14ac:dyDescent="0.35">
      <c r="B8" s="45">
        <v>5</v>
      </c>
      <c r="C8" s="32" t="s">
        <v>24</v>
      </c>
      <c r="D8" s="33" t="s">
        <v>22</v>
      </c>
      <c r="E8" s="33" t="s">
        <v>122</v>
      </c>
      <c r="F8" s="34" t="s">
        <v>25</v>
      </c>
      <c r="G8" s="33" t="s">
        <v>26</v>
      </c>
      <c r="H8" s="33" t="s">
        <v>56</v>
      </c>
      <c r="I8" s="33">
        <v>4000</v>
      </c>
      <c r="J8" s="46">
        <v>44369</v>
      </c>
      <c r="K8" s="33"/>
      <c r="L8" s="46">
        <v>44399</v>
      </c>
      <c r="M8" s="33"/>
      <c r="N8" s="46">
        <f>IF(Table2[[#This Row],[Wash Type]]="Normal",Table2[[#This Row],[Fabric Inhouse Target]]+7,IF(Table2[[#This Row],[Wash Type]]="Critical",Table2[[#This Row],[Fabric Inhouse Target]]+10,Table2[[#This Row],[Fabric Inhouse Target]]))</f>
        <v>44379</v>
      </c>
      <c r="O8" s="33"/>
      <c r="P8" s="33">
        <v>3459</v>
      </c>
      <c r="Q8" s="50">
        <f>Table2[[#This Row],[Cut Qty]]/Table2[[#This Row],[Order Qty]]</f>
        <v>0.86475000000000002</v>
      </c>
      <c r="R8" s="33">
        <v>3400</v>
      </c>
      <c r="S8" s="66"/>
      <c r="T8" s="52">
        <f>Table2[[#This Row],[Ship Qty]]/Table2[[#This Row],[Cut Qty]]</f>
        <v>0.98294304712344605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3400FB-108A-4C62-9805-3BE8F6B69E01}">
          <x14:formula1>
            <xm:f>'data validation'!$G$6:$G$9</xm:f>
          </x14:formula1>
          <xm:sqref>H4:H8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63C0-4E0B-44FD-9AD4-0C94660066A3}">
  <dimension ref="B1:AL22"/>
  <sheetViews>
    <sheetView topLeftCell="D1" workbookViewId="0">
      <selection activeCell="AG7" sqref="AG7"/>
    </sheetView>
  </sheetViews>
  <sheetFormatPr defaultRowHeight="14.5" x14ac:dyDescent="0.35"/>
  <cols>
    <col min="1" max="1" width="1.453125" customWidth="1"/>
    <col min="2" max="2" width="6.453125" customWidth="1"/>
    <col min="3" max="3" width="9" customWidth="1"/>
    <col min="4" max="4" width="10.453125" customWidth="1"/>
    <col min="5" max="5" width="10.6328125" customWidth="1"/>
    <col min="6" max="6" width="9.54296875" customWidth="1"/>
    <col min="8" max="11" width="9.7265625" customWidth="1"/>
    <col min="12" max="14" width="11.1796875" customWidth="1"/>
    <col min="15" max="15" width="12.7265625" customWidth="1"/>
    <col min="16" max="16" width="16.54296875" customWidth="1"/>
    <col min="17" max="18" width="11.54296875" customWidth="1"/>
    <col min="19" max="19" width="9.81640625" customWidth="1"/>
    <col min="20" max="20" width="10.81640625" customWidth="1"/>
    <col min="21" max="23" width="10.453125" customWidth="1"/>
    <col min="24" max="24" width="13.36328125" customWidth="1"/>
    <col min="25" max="25" width="10.7265625" customWidth="1"/>
    <col min="26" max="26" width="6.36328125" customWidth="1"/>
    <col min="27" max="27" width="7.6328125" customWidth="1"/>
    <col min="28" max="28" width="14.7265625" customWidth="1"/>
    <col min="29" max="30" width="9.81640625" customWidth="1"/>
    <col min="32" max="32" width="21.36328125" customWidth="1"/>
    <col min="33" max="33" width="15" customWidth="1"/>
  </cols>
  <sheetData>
    <row r="1" spans="2:38" ht="15" thickBot="1" x14ac:dyDescent="0.4">
      <c r="L1" t="s">
        <v>58</v>
      </c>
    </row>
    <row r="2" spans="2:38" ht="34" customHeight="1" x14ac:dyDescent="0.45">
      <c r="B2" s="36"/>
      <c r="C2" s="37"/>
      <c r="D2" s="37"/>
      <c r="E2" s="37"/>
      <c r="F2" s="37"/>
      <c r="G2" s="38"/>
      <c r="H2" s="38"/>
      <c r="I2" s="38"/>
      <c r="J2" s="38"/>
      <c r="K2" s="38"/>
      <c r="L2" s="37"/>
      <c r="M2" s="37"/>
      <c r="N2" s="37"/>
      <c r="O2" s="38" t="s">
        <v>41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43"/>
      <c r="AA2" s="43"/>
      <c r="AB2" s="43"/>
      <c r="AC2" s="43"/>
      <c r="AD2" s="43"/>
      <c r="AE2" s="44"/>
    </row>
    <row r="3" spans="2:38" s="47" customFormat="1" ht="41" customHeight="1" x14ac:dyDescent="0.35">
      <c r="B3" s="48" t="s">
        <v>1</v>
      </c>
      <c r="C3" s="41" t="s">
        <v>2</v>
      </c>
      <c r="D3" s="41" t="s">
        <v>3</v>
      </c>
      <c r="E3" s="41" t="s">
        <v>45</v>
      </c>
      <c r="F3" s="41" t="s">
        <v>4</v>
      </c>
      <c r="G3" s="41" t="s">
        <v>5</v>
      </c>
      <c r="H3" s="41" t="s">
        <v>44</v>
      </c>
      <c r="I3" s="41" t="s">
        <v>67</v>
      </c>
      <c r="J3" s="41" t="s">
        <v>65</v>
      </c>
      <c r="K3" s="41" t="s">
        <v>66</v>
      </c>
      <c r="L3" s="41" t="s">
        <v>6</v>
      </c>
      <c r="M3" s="41" t="s">
        <v>115</v>
      </c>
      <c r="N3" s="41" t="s">
        <v>111</v>
      </c>
      <c r="O3" s="41" t="s">
        <v>28</v>
      </c>
      <c r="P3" s="41" t="s">
        <v>29</v>
      </c>
      <c r="Q3" s="41" t="s">
        <v>112</v>
      </c>
      <c r="R3" s="41" t="s">
        <v>128</v>
      </c>
      <c r="S3" s="41" t="s">
        <v>79</v>
      </c>
      <c r="T3" s="41" t="s">
        <v>30</v>
      </c>
      <c r="U3" s="41" t="s">
        <v>31</v>
      </c>
      <c r="V3" s="41" t="s">
        <v>129</v>
      </c>
      <c r="W3" s="41" t="s">
        <v>130</v>
      </c>
      <c r="X3" s="41" t="s">
        <v>42</v>
      </c>
      <c r="Y3" s="41" t="s">
        <v>43</v>
      </c>
      <c r="Z3" s="41" t="s">
        <v>37</v>
      </c>
      <c r="AA3" s="41" t="s">
        <v>38</v>
      </c>
      <c r="AB3" s="41" t="s">
        <v>113</v>
      </c>
      <c r="AC3" s="41" t="s">
        <v>39</v>
      </c>
      <c r="AD3" s="42" t="s">
        <v>114</v>
      </c>
      <c r="AE3" s="42" t="s">
        <v>40</v>
      </c>
      <c r="AF3" s="83" t="s">
        <v>127</v>
      </c>
    </row>
    <row r="4" spans="2:38" x14ac:dyDescent="0.35">
      <c r="B4" s="35">
        <v>1</v>
      </c>
      <c r="C4" s="20" t="s">
        <v>24</v>
      </c>
      <c r="D4" s="1" t="s">
        <v>27</v>
      </c>
      <c r="E4" s="1" t="s">
        <v>49</v>
      </c>
      <c r="F4" s="20" t="s">
        <v>14</v>
      </c>
      <c r="G4" s="1" t="s">
        <v>16</v>
      </c>
      <c r="H4" s="1" t="s">
        <v>55</v>
      </c>
      <c r="I4" s="1" t="s">
        <v>77</v>
      </c>
      <c r="J4" s="1" t="s">
        <v>60</v>
      </c>
      <c r="K4" s="1" t="s">
        <v>73</v>
      </c>
      <c r="L4" s="1">
        <f ca="1">RANDBETWEEN(100,5000)</f>
        <v>3483</v>
      </c>
      <c r="M4" s="60">
        <f ca="1">Table24[[#This Row],[Delivery Date]]-45</f>
        <v>44401</v>
      </c>
      <c r="N4" s="60">
        <f t="shared" ref="N4:N21" ca="1" si="0">RANDBETWEEN(DATE(2021,7,1),DATE(2021,12,1))</f>
        <v>44446</v>
      </c>
      <c r="O4" s="60">
        <f ca="1">IF(Table24[[#This Row],[Wash Type]]="Critical",Table24[[#This Row],[Delivery Date]]-45,Table24[[#This Row],[Delivery Date]]-25)</f>
        <v>44421</v>
      </c>
      <c r="P4" s="39">
        <f ca="1">RANDBETWEEN(DATE(2021,7,1),DATE(2021,12,1))</f>
        <v>44450</v>
      </c>
      <c r="Q4" s="70">
        <f ca="1">IF(OR(Table24[[#This Row],[Fabric Inhouse Target]]="",Table24[[#This Row],[Fabric Inhouse Actual]]=""),"",Table24[[#This Row],[Fabric Inhouse Actual]]-Table24[[#This Row],[Fabric Inhouse Target]])</f>
        <v>29</v>
      </c>
      <c r="R4" s="70" t="str">
        <f ca="1">IF(Table24[[#This Row],[Fabric Delay]]&lt;1, "On time","Delay")</f>
        <v>Delay</v>
      </c>
      <c r="S4" s="1" t="s">
        <v>80</v>
      </c>
      <c r="T4" s="39">
        <f ca="1">Table24[[#This Row],[Fabric Inhouse Target]]+7</f>
        <v>44428</v>
      </c>
      <c r="U4" s="1"/>
      <c r="V4" s="1"/>
      <c r="W4" s="1"/>
      <c r="X4" s="60">
        <f ca="1">Table24[[#This Row],[Loading Date]]-7</f>
        <v>44394</v>
      </c>
      <c r="Y4" s="1"/>
      <c r="Z4" s="1">
        <v>987</v>
      </c>
      <c r="AA4" s="49">
        <f ca="1">Table24[[#This Row],[Cut Qty]]/Table24[[#This Row],[Order Qty]]</f>
        <v>0.2833763996554694</v>
      </c>
      <c r="AB4" s="79">
        <v>44438</v>
      </c>
      <c r="AC4" s="1">
        <v>976</v>
      </c>
      <c r="AD4" s="62">
        <f ca="1">Table24[[#This Row],[Ex factory Date]]-Table24[[#This Row],[Planned Cutting Date (PCD)]]</f>
        <v>44</v>
      </c>
      <c r="AE4" s="51">
        <f>Table24[[#This Row],[Ship Qty]]/Table24[[#This Row],[Cut Qty]]</f>
        <v>0.98885511651469093</v>
      </c>
      <c r="AF4" s="81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</row>
    <row r="5" spans="2:38" x14ac:dyDescent="0.35">
      <c r="B5" s="35">
        <v>2</v>
      </c>
      <c r="C5" s="20" t="s">
        <v>24</v>
      </c>
      <c r="D5" s="1" t="s">
        <v>13</v>
      </c>
      <c r="E5" s="1" t="s">
        <v>49</v>
      </c>
      <c r="F5" s="20" t="s">
        <v>14</v>
      </c>
      <c r="G5" s="1" t="s">
        <v>17</v>
      </c>
      <c r="H5" s="1" t="s">
        <v>55</v>
      </c>
      <c r="I5" s="1" t="s">
        <v>78</v>
      </c>
      <c r="J5" s="1" t="s">
        <v>61</v>
      </c>
      <c r="K5" s="1" t="s">
        <v>74</v>
      </c>
      <c r="L5" s="1">
        <f t="shared" ref="L5:L7" ca="1" si="1">RANDBETWEEN(100,5000)</f>
        <v>1590</v>
      </c>
      <c r="M5" s="60">
        <f ca="1">Table24[[#This Row],[Delivery Date]]-45</f>
        <v>44362</v>
      </c>
      <c r="N5" s="60">
        <f t="shared" ca="1" si="0"/>
        <v>44407</v>
      </c>
      <c r="O5" s="60">
        <f ca="1">IF(Table24[[#This Row],[Wash Type]]="Critical",Table24[[#This Row],[Delivery Date]]-45,Table24[[#This Row],[Delivery Date]]-25)</f>
        <v>44382</v>
      </c>
      <c r="P5" s="39">
        <f t="shared" ref="P5:P21" ca="1" si="2">RANDBETWEEN(DATE(2021,7,1),DATE(2021,12,1))</f>
        <v>44404</v>
      </c>
      <c r="Q5" s="70">
        <f ca="1">IF(OR(Table24[[#This Row],[Fabric Inhouse Target]]="",Table24[[#This Row],[Fabric Inhouse Actual]]=""),"",Table24[[#This Row],[Fabric Inhouse Actual]]-Table24[[#This Row],[Fabric Inhouse Target]])</f>
        <v>22</v>
      </c>
      <c r="R5" s="70" t="str">
        <f ca="1">IF(Table24[[#This Row],[Fabric Delay]]&lt;1, "On time","Delay")</f>
        <v>Delay</v>
      </c>
      <c r="S5" s="1" t="s">
        <v>80</v>
      </c>
      <c r="T5" s="39">
        <f ca="1">Table24[[#This Row],[Fabric Inhouse Target]]+7</f>
        <v>44389</v>
      </c>
      <c r="U5" s="1"/>
      <c r="V5" s="1"/>
      <c r="W5" s="1"/>
      <c r="X5" s="60">
        <f ca="1">Table24[[#This Row],[Loading Date]]-7</f>
        <v>44355</v>
      </c>
      <c r="Y5" s="1"/>
      <c r="Z5" s="1">
        <v>2023</v>
      </c>
      <c r="AA5" s="49">
        <f ca="1">Table24[[#This Row],[Cut Qty]]/Table24[[#This Row],[Order Qty]]</f>
        <v>1.2723270440251573</v>
      </c>
      <c r="AB5" s="79">
        <v>44504</v>
      </c>
      <c r="AC5" s="1">
        <v>2000</v>
      </c>
      <c r="AD5" s="62">
        <f ca="1">Table24[[#This Row],[Ex factory Date]]-Table24[[#This Row],[Planned Cutting Date (PCD)]]</f>
        <v>149</v>
      </c>
      <c r="AE5" s="51">
        <f>Table24[[#This Row],[Ship Qty]]/Table24[[#This Row],[Cut Qty]]</f>
        <v>0.98863074641621351</v>
      </c>
      <c r="AF5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greater than 65 days</v>
      </c>
    </row>
    <row r="6" spans="2:38" x14ac:dyDescent="0.35">
      <c r="B6" s="35">
        <v>3</v>
      </c>
      <c r="C6" s="1" t="s">
        <v>83</v>
      </c>
      <c r="D6" s="1" t="s">
        <v>18</v>
      </c>
      <c r="E6" s="1" t="s">
        <v>48</v>
      </c>
      <c r="F6" s="2" t="s">
        <v>19</v>
      </c>
      <c r="G6" s="1" t="s">
        <v>20</v>
      </c>
      <c r="H6" s="1" t="s">
        <v>56</v>
      </c>
      <c r="I6" s="1" t="s">
        <v>69</v>
      </c>
      <c r="J6" s="1" t="s">
        <v>62</v>
      </c>
      <c r="K6" s="1" t="s">
        <v>73</v>
      </c>
      <c r="L6" s="1">
        <f t="shared" ca="1" si="1"/>
        <v>979</v>
      </c>
      <c r="M6" s="60">
        <f ca="1">Table24[[#This Row],[Delivery Date]]-45</f>
        <v>44478</v>
      </c>
      <c r="N6" s="60">
        <f t="shared" ca="1" si="0"/>
        <v>44523</v>
      </c>
      <c r="O6" s="60">
        <f ca="1">IF(Table24[[#This Row],[Wash Type]]="Critical",Table24[[#This Row],[Delivery Date]]-45,Table24[[#This Row],[Delivery Date]]-25)</f>
        <v>44478</v>
      </c>
      <c r="P6" s="39">
        <f t="shared" ca="1" si="2"/>
        <v>44434</v>
      </c>
      <c r="Q6" s="70">
        <f ca="1">IF(OR(Table24[[#This Row],[Fabric Inhouse Target]]="",Table24[[#This Row],[Fabric Inhouse Actual]]=""),"",Table24[[#This Row],[Fabric Inhouse Actual]]-Table24[[#This Row],[Fabric Inhouse Target]])</f>
        <v>-44</v>
      </c>
      <c r="R6" s="70" t="str">
        <f ca="1">IF(Table24[[#This Row],[Fabric Delay]]&lt;1, "On time","Delay")</f>
        <v>On time</v>
      </c>
      <c r="S6" s="1" t="s">
        <v>80</v>
      </c>
      <c r="T6" s="39">
        <f ca="1">Table24[[#This Row],[Fabric Inhouse Target]]+7</f>
        <v>44485</v>
      </c>
      <c r="U6" s="1"/>
      <c r="V6" s="1"/>
      <c r="W6" s="1"/>
      <c r="X6" s="60">
        <f ca="1">Table24[[#This Row],[Loading Date]]-7</f>
        <v>44471</v>
      </c>
      <c r="Y6" s="1"/>
      <c r="Z6" s="1">
        <v>1023</v>
      </c>
      <c r="AA6" s="49">
        <f ca="1">Table24[[#This Row],[Cut Qty]]/Table24[[#This Row],[Order Qty]]</f>
        <v>1.0449438202247192</v>
      </c>
      <c r="AB6" s="79">
        <v>44459</v>
      </c>
      <c r="AC6" s="1">
        <v>1000</v>
      </c>
      <c r="AD6" s="62">
        <f ca="1">Table24[[#This Row],[Ex factory Date]]-Table24[[#This Row],[Planned Cutting Date (PCD)]]</f>
        <v>-12</v>
      </c>
      <c r="AE6" s="51">
        <f>Table24[[#This Row],[Ship Qty]]/Table24[[#This Row],[Cut Qty]]</f>
        <v>0.97751710654936463</v>
      </c>
      <c r="AF6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  <c r="AI6" s="84"/>
      <c r="AK6" s="85"/>
      <c r="AL6" s="84"/>
    </row>
    <row r="7" spans="2:38" x14ac:dyDescent="0.35">
      <c r="B7" s="35">
        <v>4</v>
      </c>
      <c r="C7" s="20" t="s">
        <v>24</v>
      </c>
      <c r="D7" s="33" t="s">
        <v>22</v>
      </c>
      <c r="E7" s="1" t="s">
        <v>51</v>
      </c>
      <c r="F7" s="22" t="s">
        <v>25</v>
      </c>
      <c r="G7" s="1" t="s">
        <v>17</v>
      </c>
      <c r="H7" s="1" t="s">
        <v>54</v>
      </c>
      <c r="I7" s="1" t="s">
        <v>70</v>
      </c>
      <c r="J7" s="1" t="s">
        <v>62</v>
      </c>
      <c r="K7" s="1" t="s">
        <v>75</v>
      </c>
      <c r="L7" s="1">
        <f t="shared" ca="1" si="1"/>
        <v>501</v>
      </c>
      <c r="M7" s="60">
        <f ca="1">Table24[[#This Row],[Delivery Date]]-45</f>
        <v>44347</v>
      </c>
      <c r="N7" s="60">
        <f t="shared" ca="1" si="0"/>
        <v>44392</v>
      </c>
      <c r="O7" s="60">
        <f ca="1">IF(Table24[[#This Row],[Wash Type]]="Critical",Table24[[#This Row],[Delivery Date]]-45,Table24[[#This Row],[Delivery Date]]-25)</f>
        <v>44367</v>
      </c>
      <c r="P7" s="39">
        <f t="shared" ca="1" si="2"/>
        <v>44416</v>
      </c>
      <c r="Q7" s="70">
        <f ca="1">IF(OR(Table24[[#This Row],[Fabric Inhouse Target]]="",Table24[[#This Row],[Fabric Inhouse Actual]]=""),"",Table24[[#This Row],[Fabric Inhouse Actual]]-Table24[[#This Row],[Fabric Inhouse Target]])</f>
        <v>49</v>
      </c>
      <c r="R7" s="70" t="str">
        <f ca="1">IF(Table24[[#This Row],[Fabric Delay]]&lt;1, "On time","Delay")</f>
        <v>Delay</v>
      </c>
      <c r="S7" s="1" t="s">
        <v>81</v>
      </c>
      <c r="T7" s="39">
        <f ca="1">Table24[[#This Row],[Fabric Inhouse Target]]+7</f>
        <v>44374</v>
      </c>
      <c r="U7" s="1"/>
      <c r="V7" s="1"/>
      <c r="W7" s="1"/>
      <c r="X7" s="60">
        <f ca="1">Table24[[#This Row],[Loading Date]]-7</f>
        <v>44340</v>
      </c>
      <c r="Y7" s="1"/>
      <c r="Z7" s="1">
        <v>2500</v>
      </c>
      <c r="AA7" s="49">
        <f ca="1">Table24[[#This Row],[Cut Qty]]/Table24[[#This Row],[Order Qty]]</f>
        <v>4.9900199600798407</v>
      </c>
      <c r="AB7" s="79">
        <v>44468</v>
      </c>
      <c r="AC7" s="1">
        <v>2456</v>
      </c>
      <c r="AD7" s="62">
        <f ca="1">Table24[[#This Row],[Ex factory Date]]-Table24[[#This Row],[Planned Cutting Date (PCD)]]</f>
        <v>128</v>
      </c>
      <c r="AE7" s="51">
        <f>Table24[[#This Row],[Ship Qty]]/Table24[[#This Row],[Cut Qty]]</f>
        <v>0.98240000000000005</v>
      </c>
      <c r="AF7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greater than 65 days</v>
      </c>
    </row>
    <row r="8" spans="2:38" x14ac:dyDescent="0.35">
      <c r="B8" s="35">
        <v>5</v>
      </c>
      <c r="C8" s="20" t="s">
        <v>84</v>
      </c>
      <c r="D8" s="33" t="s">
        <v>22</v>
      </c>
      <c r="E8" s="1" t="s">
        <v>50</v>
      </c>
      <c r="F8" s="34">
        <v>998443</v>
      </c>
      <c r="G8" s="1" t="s">
        <v>110</v>
      </c>
      <c r="H8" s="1" t="s">
        <v>57</v>
      </c>
      <c r="I8" s="1" t="s">
        <v>70</v>
      </c>
      <c r="J8" s="1" t="s">
        <v>64</v>
      </c>
      <c r="K8" s="1" t="s">
        <v>75</v>
      </c>
      <c r="L8" s="1">
        <f ca="1">RANDBETWEEN(100,5000)</f>
        <v>3724</v>
      </c>
      <c r="M8" s="60">
        <f ca="1">Table24[[#This Row],[Delivery Date]]-45</f>
        <v>44478</v>
      </c>
      <c r="N8" s="60">
        <f t="shared" ca="1" si="0"/>
        <v>44523</v>
      </c>
      <c r="O8" s="60">
        <f ca="1">IF(Table24[[#This Row],[Wash Type]]="Critical",Table24[[#This Row],[Delivery Date]]-45,Table24[[#This Row],[Delivery Date]]-25)</f>
        <v>44498</v>
      </c>
      <c r="P8" s="39">
        <f t="shared" ca="1" si="2"/>
        <v>44430</v>
      </c>
      <c r="Q8" s="70">
        <f ca="1">IF(OR(Table24[[#This Row],[Fabric Inhouse Target]]="",Table24[[#This Row],[Fabric Inhouse Actual]]=""),"",Table24[[#This Row],[Fabric Inhouse Actual]]-Table24[[#This Row],[Fabric Inhouse Target]])</f>
        <v>-68</v>
      </c>
      <c r="R8" s="70" t="str">
        <f ca="1">IF(Table24[[#This Row],[Fabric Delay]]&lt;1, "On time","Delay")</f>
        <v>On time</v>
      </c>
      <c r="S8" s="1" t="s">
        <v>81</v>
      </c>
      <c r="T8" s="39">
        <f ca="1">Table24[[#This Row],[Fabric Inhouse Target]]+7</f>
        <v>44505</v>
      </c>
      <c r="U8" s="1"/>
      <c r="V8" s="1"/>
      <c r="W8" s="1"/>
      <c r="X8" s="60">
        <f ca="1">Table24[[#This Row],[Loading Date]]-7</f>
        <v>44471</v>
      </c>
      <c r="Y8" s="1"/>
      <c r="Z8" s="1"/>
      <c r="AA8" s="49">
        <f ca="1">Table24[[#This Row],[Cut Qty]]/Table24[[#This Row],[Order Qty]]</f>
        <v>0</v>
      </c>
      <c r="AB8" s="79">
        <v>44410</v>
      </c>
      <c r="AC8" s="1"/>
      <c r="AD8" s="62">
        <f ca="1">Table24[[#This Row],[Ex factory Date]]-Table24[[#This Row],[Planned Cutting Date (PCD)]]</f>
        <v>-61</v>
      </c>
      <c r="AE8" s="51" t="e">
        <f>Table24[[#This Row],[Ship Qty]]/Table24[[#This Row],[Cut Qty]]</f>
        <v>#DIV/0!</v>
      </c>
      <c r="AF8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</row>
    <row r="9" spans="2:38" x14ac:dyDescent="0.35">
      <c r="B9" s="35">
        <v>6</v>
      </c>
      <c r="C9" s="32" t="s">
        <v>24</v>
      </c>
      <c r="D9" s="33" t="s">
        <v>85</v>
      </c>
      <c r="E9" s="33" t="s">
        <v>52</v>
      </c>
      <c r="F9" s="34" t="s">
        <v>25</v>
      </c>
      <c r="G9" s="33" t="s">
        <v>26</v>
      </c>
      <c r="H9" s="33" t="s">
        <v>56</v>
      </c>
      <c r="I9" s="33" t="s">
        <v>68</v>
      </c>
      <c r="J9" s="33" t="s">
        <v>64</v>
      </c>
      <c r="K9" s="33" t="s">
        <v>76</v>
      </c>
      <c r="L9" s="1">
        <f ca="1">RANDBETWEEN(100,5000)</f>
        <v>4888</v>
      </c>
      <c r="M9" s="61">
        <f ca="1">Table24[[#This Row],[Delivery Date]]-45</f>
        <v>44401</v>
      </c>
      <c r="N9" s="61">
        <f t="shared" ca="1" si="0"/>
        <v>44446</v>
      </c>
      <c r="O9" s="61">
        <f ca="1">IF(Table24[[#This Row],[Wash Type]]="Critical",Table24[[#This Row],[Delivery Date]]-45,Table24[[#This Row],[Delivery Date]]-25)</f>
        <v>44401</v>
      </c>
      <c r="P9" s="39">
        <f t="shared" ca="1" si="2"/>
        <v>44500</v>
      </c>
      <c r="Q9" s="71">
        <f ca="1">IF(OR(Table24[[#This Row],[Fabric Inhouse Target]]="",Table24[[#This Row],[Fabric Inhouse Actual]]=""),"",Table24[[#This Row],[Fabric Inhouse Actual]]-Table24[[#This Row],[Fabric Inhouse Target]])</f>
        <v>99</v>
      </c>
      <c r="R9" s="71" t="str">
        <f ca="1">IF(Table24[[#This Row],[Fabric Delay]]&lt;1, "On time","Delay")</f>
        <v>Delay</v>
      </c>
      <c r="S9" s="33" t="s">
        <v>80</v>
      </c>
      <c r="T9" s="46">
        <f ca="1">Table24[[#This Row],[Fabric Inhouse Target]]+7</f>
        <v>44408</v>
      </c>
      <c r="U9" s="33"/>
      <c r="V9" s="33"/>
      <c r="W9" s="33"/>
      <c r="X9" s="61">
        <f ca="1">Table24[[#This Row],[Loading Date]]-7</f>
        <v>44394</v>
      </c>
      <c r="Y9" s="33"/>
      <c r="Z9" s="33">
        <v>3459</v>
      </c>
      <c r="AA9" s="50">
        <f ca="1">Table24[[#This Row],[Cut Qty]]/Table24[[#This Row],[Order Qty]]</f>
        <v>0.70765139116202946</v>
      </c>
      <c r="AB9" s="79">
        <v>44464</v>
      </c>
      <c r="AC9" s="33">
        <v>3400</v>
      </c>
      <c r="AD9" s="63">
        <f ca="1">Table24[[#This Row],[Ex factory Date]]-Table24[[#This Row],[Planned Cutting Date (PCD)]]</f>
        <v>70</v>
      </c>
      <c r="AE9" s="52">
        <f>Table24[[#This Row],[Ship Qty]]/Table24[[#This Row],[Cut Qty]]</f>
        <v>0.98294304712344605</v>
      </c>
      <c r="AF9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greater than 65 days</v>
      </c>
    </row>
    <row r="10" spans="2:38" x14ac:dyDescent="0.35">
      <c r="B10" s="35">
        <v>7</v>
      </c>
      <c r="C10" s="20" t="s">
        <v>23</v>
      </c>
      <c r="D10" s="33" t="s">
        <v>86</v>
      </c>
      <c r="E10" s="1" t="s">
        <v>52</v>
      </c>
      <c r="F10" t="s">
        <v>99</v>
      </c>
      <c r="G10" s="1" t="s">
        <v>16</v>
      </c>
      <c r="H10" s="1" t="s">
        <v>55</v>
      </c>
      <c r="I10" s="1" t="s">
        <v>77</v>
      </c>
      <c r="J10" s="1" t="s">
        <v>61</v>
      </c>
      <c r="K10" s="1" t="s">
        <v>73</v>
      </c>
      <c r="L10" s="1">
        <f t="shared" ref="L10:L20" ca="1" si="3">RANDBETWEEN(100,5000)</f>
        <v>4773</v>
      </c>
      <c r="M10" s="60">
        <f ca="1">Table24[[#This Row],[Delivery Date]]-45</f>
        <v>44479</v>
      </c>
      <c r="N10" s="60">
        <f t="shared" ca="1" si="0"/>
        <v>44524</v>
      </c>
      <c r="O10" s="60">
        <f ca="1">IF(Table24[[#This Row],[Wash Type]]="Critical",Table24[[#This Row],[Delivery Date]]-45,Table24[[#This Row],[Delivery Date]]-25)</f>
        <v>44499</v>
      </c>
      <c r="P10" s="39">
        <f t="shared" ca="1" si="2"/>
        <v>44530</v>
      </c>
      <c r="Q10" s="70">
        <f ca="1">IF(OR(Table24[[#This Row],[Fabric Inhouse Target]]="",Table24[[#This Row],[Fabric Inhouse Actual]]=""),"",Table24[[#This Row],[Fabric Inhouse Actual]]-Table24[[#This Row],[Fabric Inhouse Target]])</f>
        <v>31</v>
      </c>
      <c r="R10" s="70" t="str">
        <f ca="1">IF(Table24[[#This Row],[Fabric Delay]]&lt;1, "On time","Delay")</f>
        <v>Delay</v>
      </c>
      <c r="S10" s="1" t="s">
        <v>80</v>
      </c>
      <c r="T10" s="39">
        <f ca="1">Table24[[#This Row],[Fabric Inhouse Target]]+7</f>
        <v>44506</v>
      </c>
      <c r="U10" s="1"/>
      <c r="V10" s="1"/>
      <c r="W10" s="1"/>
      <c r="X10" s="60">
        <f ca="1">Table24[[#This Row],[Loading Date]]-7</f>
        <v>44472</v>
      </c>
      <c r="Y10" s="1"/>
      <c r="Z10" s="1"/>
      <c r="AA10" s="49">
        <f ca="1">Table24[[#This Row],[Cut Qty]]/Table24[[#This Row],[Order Qty]]</f>
        <v>0</v>
      </c>
      <c r="AB10" s="79">
        <v>44492</v>
      </c>
      <c r="AC10" s="1"/>
      <c r="AD10" s="62">
        <f ca="1">Table24[[#This Row],[Ex factory Date]]-Table24[[#This Row],[Planned Cutting Date (PCD)]]</f>
        <v>20</v>
      </c>
      <c r="AE10" s="51" t="e">
        <f>Table24[[#This Row],[Ship Qty]]/Table24[[#This Row],[Cut Qty]]</f>
        <v>#DIV/0!</v>
      </c>
      <c r="AF10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</row>
    <row r="11" spans="2:38" x14ac:dyDescent="0.35">
      <c r="B11" s="35">
        <v>8</v>
      </c>
      <c r="C11" s="20" t="s">
        <v>84</v>
      </c>
      <c r="D11" s="33" t="s">
        <v>87</v>
      </c>
      <c r="E11" s="1" t="s">
        <v>47</v>
      </c>
      <c r="F11" t="s">
        <v>100</v>
      </c>
      <c r="G11" s="1" t="s">
        <v>17</v>
      </c>
      <c r="H11" s="1" t="s">
        <v>55</v>
      </c>
      <c r="I11" s="1" t="s">
        <v>77</v>
      </c>
      <c r="J11" s="1" t="s">
        <v>63</v>
      </c>
      <c r="K11" s="1" t="s">
        <v>74</v>
      </c>
      <c r="L11" s="1">
        <f t="shared" ca="1" si="3"/>
        <v>1724</v>
      </c>
      <c r="M11" s="60">
        <f ca="1">Table24[[#This Row],[Delivery Date]]-45</f>
        <v>44431</v>
      </c>
      <c r="N11" s="60">
        <f t="shared" ca="1" si="0"/>
        <v>44476</v>
      </c>
      <c r="O11" s="60">
        <f ca="1">IF(Table24[[#This Row],[Wash Type]]="Critical",Table24[[#This Row],[Delivery Date]]-45,Table24[[#This Row],[Delivery Date]]-25)</f>
        <v>44451</v>
      </c>
      <c r="P11" s="39">
        <f t="shared" ca="1" si="2"/>
        <v>44447</v>
      </c>
      <c r="Q11" s="70">
        <f ca="1">IF(OR(Table24[[#This Row],[Fabric Inhouse Target]]="",Table24[[#This Row],[Fabric Inhouse Actual]]=""),"",Table24[[#This Row],[Fabric Inhouse Actual]]-Table24[[#This Row],[Fabric Inhouse Target]])</f>
        <v>-4</v>
      </c>
      <c r="R11" s="70" t="str">
        <f ca="1">IF(Table24[[#This Row],[Fabric Delay]]&lt;1, "On time","Delay")</f>
        <v>On time</v>
      </c>
      <c r="S11" s="1" t="s">
        <v>80</v>
      </c>
      <c r="T11" s="39">
        <f ca="1">Table24[[#This Row],[Fabric Inhouse Target]]+7</f>
        <v>44458</v>
      </c>
      <c r="U11" s="1"/>
      <c r="V11" s="1"/>
      <c r="W11" s="1"/>
      <c r="X11" s="60">
        <f ca="1">Table24[[#This Row],[Loading Date]]-7</f>
        <v>44424</v>
      </c>
      <c r="Y11" s="1"/>
      <c r="Z11" s="1"/>
      <c r="AA11" s="49">
        <f ca="1">Table24[[#This Row],[Cut Qty]]/Table24[[#This Row],[Order Qty]]</f>
        <v>0</v>
      </c>
      <c r="AB11" s="79">
        <v>44411</v>
      </c>
      <c r="AC11" s="1"/>
      <c r="AD11" s="62">
        <f ca="1">Table24[[#This Row],[Ex factory Date]]-Table24[[#This Row],[Planned Cutting Date (PCD)]]</f>
        <v>-13</v>
      </c>
      <c r="AE11" s="51" t="e">
        <f>Table24[[#This Row],[Ship Qty]]/Table24[[#This Row],[Cut Qty]]</f>
        <v>#DIV/0!</v>
      </c>
      <c r="AF11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</row>
    <row r="12" spans="2:38" x14ac:dyDescent="0.35">
      <c r="B12" s="35">
        <v>9</v>
      </c>
      <c r="C12" s="20" t="s">
        <v>24</v>
      </c>
      <c r="D12" s="33" t="s">
        <v>88</v>
      </c>
      <c r="E12" s="1" t="s">
        <v>48</v>
      </c>
      <c r="F12">
        <v>19884</v>
      </c>
      <c r="G12" s="1" t="s">
        <v>20</v>
      </c>
      <c r="H12" s="1" t="s">
        <v>56</v>
      </c>
      <c r="I12" s="1" t="s">
        <v>78</v>
      </c>
      <c r="J12" s="1" t="s">
        <v>63</v>
      </c>
      <c r="K12" s="1" t="s">
        <v>73</v>
      </c>
      <c r="L12" s="1">
        <f t="shared" ca="1" si="3"/>
        <v>2141</v>
      </c>
      <c r="M12" s="60">
        <f ca="1">Table24[[#This Row],[Delivery Date]]-45</f>
        <v>44375</v>
      </c>
      <c r="N12" s="60">
        <f t="shared" ca="1" si="0"/>
        <v>44420</v>
      </c>
      <c r="O12" s="60">
        <f ca="1">IF(Table24[[#This Row],[Wash Type]]="Critical",Table24[[#This Row],[Delivery Date]]-45,Table24[[#This Row],[Delivery Date]]-25)</f>
        <v>44375</v>
      </c>
      <c r="P12" s="39">
        <f t="shared" ca="1" si="2"/>
        <v>44512</v>
      </c>
      <c r="Q12" s="70">
        <f ca="1">IF(OR(Table24[[#This Row],[Fabric Inhouse Target]]="",Table24[[#This Row],[Fabric Inhouse Actual]]=""),"",Table24[[#This Row],[Fabric Inhouse Actual]]-Table24[[#This Row],[Fabric Inhouse Target]])</f>
        <v>137</v>
      </c>
      <c r="R12" s="70" t="str">
        <f ca="1">IF(Table24[[#This Row],[Fabric Delay]]&lt;1, "On time","Delay")</f>
        <v>Delay</v>
      </c>
      <c r="S12" s="1" t="s">
        <v>81</v>
      </c>
      <c r="T12" s="39">
        <f ca="1">Table24[[#This Row],[Fabric Inhouse Target]]+7</f>
        <v>44382</v>
      </c>
      <c r="U12" s="1"/>
      <c r="V12" s="1"/>
      <c r="W12" s="1"/>
      <c r="X12" s="60">
        <f ca="1">Table24[[#This Row],[Loading Date]]-7</f>
        <v>44368</v>
      </c>
      <c r="Y12" s="1"/>
      <c r="Z12" s="1"/>
      <c r="AA12" s="49">
        <f ca="1">Table24[[#This Row],[Cut Qty]]/Table24[[#This Row],[Order Qty]]</f>
        <v>0</v>
      </c>
      <c r="AB12" s="79">
        <v>44501</v>
      </c>
      <c r="AC12" s="1"/>
      <c r="AD12" s="62">
        <f ca="1">Table24[[#This Row],[Ex factory Date]]-Table24[[#This Row],[Planned Cutting Date (PCD)]]</f>
        <v>133</v>
      </c>
      <c r="AE12" s="51" t="e">
        <f>Table24[[#This Row],[Ship Qty]]/Table24[[#This Row],[Cut Qty]]</f>
        <v>#DIV/0!</v>
      </c>
      <c r="AF12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greater than 65 days</v>
      </c>
    </row>
    <row r="13" spans="2:38" x14ac:dyDescent="0.35">
      <c r="B13" s="35">
        <v>10</v>
      </c>
      <c r="C13" s="20" t="s">
        <v>24</v>
      </c>
      <c r="D13" s="33" t="s">
        <v>89</v>
      </c>
      <c r="E13" s="1" t="s">
        <v>50</v>
      </c>
      <c r="F13" t="s">
        <v>101</v>
      </c>
      <c r="G13" s="1" t="s">
        <v>17</v>
      </c>
      <c r="H13" s="1" t="s">
        <v>54</v>
      </c>
      <c r="I13" s="1" t="s">
        <v>69</v>
      </c>
      <c r="J13" s="1" t="s">
        <v>60</v>
      </c>
      <c r="K13" s="1" t="s">
        <v>75</v>
      </c>
      <c r="L13" s="1">
        <f t="shared" ca="1" si="3"/>
        <v>2548</v>
      </c>
      <c r="M13" s="60">
        <f ca="1">Table24[[#This Row],[Delivery Date]]-45</f>
        <v>44399</v>
      </c>
      <c r="N13" s="60">
        <f t="shared" ca="1" si="0"/>
        <v>44444</v>
      </c>
      <c r="O13" s="60">
        <f ca="1">IF(Table24[[#This Row],[Wash Type]]="Critical",Table24[[#This Row],[Delivery Date]]-45,Table24[[#This Row],[Delivery Date]]-25)</f>
        <v>44419</v>
      </c>
      <c r="P13" s="39">
        <f t="shared" ca="1" si="2"/>
        <v>44411</v>
      </c>
      <c r="Q13" s="70">
        <f ca="1">IF(OR(Table24[[#This Row],[Fabric Inhouse Target]]="",Table24[[#This Row],[Fabric Inhouse Actual]]=""),"",Table24[[#This Row],[Fabric Inhouse Actual]]-Table24[[#This Row],[Fabric Inhouse Target]])</f>
        <v>-8</v>
      </c>
      <c r="R13" s="70" t="str">
        <f ca="1">IF(Table24[[#This Row],[Fabric Delay]]&lt;1, "On time","Delay")</f>
        <v>On time</v>
      </c>
      <c r="S13" s="1" t="s">
        <v>81</v>
      </c>
      <c r="T13" s="39">
        <f ca="1">Table24[[#This Row],[Fabric Inhouse Target]]+7</f>
        <v>44426</v>
      </c>
      <c r="U13" s="1"/>
      <c r="V13" s="1"/>
      <c r="W13" s="1"/>
      <c r="X13" s="60">
        <f ca="1">Table24[[#This Row],[Loading Date]]-7</f>
        <v>44392</v>
      </c>
      <c r="Y13" s="1"/>
      <c r="Z13" s="1"/>
      <c r="AA13" s="49">
        <f ca="1">Table24[[#This Row],[Cut Qty]]/Table24[[#This Row],[Order Qty]]</f>
        <v>0</v>
      </c>
      <c r="AB13" s="79">
        <v>44526</v>
      </c>
      <c r="AC13" s="1"/>
      <c r="AD13" s="62">
        <f ca="1">Table24[[#This Row],[Ex factory Date]]-Table24[[#This Row],[Planned Cutting Date (PCD)]]</f>
        <v>134</v>
      </c>
      <c r="AE13" s="51" t="e">
        <f>Table24[[#This Row],[Ship Qty]]/Table24[[#This Row],[Cut Qty]]</f>
        <v>#DIV/0!</v>
      </c>
      <c r="AF13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greater than 65 days</v>
      </c>
    </row>
    <row r="14" spans="2:38" x14ac:dyDescent="0.35">
      <c r="B14" s="35">
        <v>11</v>
      </c>
      <c r="C14" s="1" t="s">
        <v>83</v>
      </c>
      <c r="D14" s="33" t="s">
        <v>90</v>
      </c>
      <c r="E14" s="1" t="s">
        <v>51</v>
      </c>
      <c r="F14" t="s">
        <v>102</v>
      </c>
      <c r="G14" s="1" t="s">
        <v>110</v>
      </c>
      <c r="H14" s="1" t="s">
        <v>57</v>
      </c>
      <c r="I14" s="1" t="s">
        <v>70</v>
      </c>
      <c r="J14" s="1" t="s">
        <v>61</v>
      </c>
      <c r="K14" s="1" t="s">
        <v>75</v>
      </c>
      <c r="L14" s="1">
        <f t="shared" ca="1" si="3"/>
        <v>3986</v>
      </c>
      <c r="M14" s="60">
        <f ca="1">Table24[[#This Row],[Delivery Date]]-45</f>
        <v>44453</v>
      </c>
      <c r="N14" s="60">
        <f t="shared" ca="1" si="0"/>
        <v>44498</v>
      </c>
      <c r="O14" s="60">
        <f ca="1">IF(Table24[[#This Row],[Wash Type]]="Critical",Table24[[#This Row],[Delivery Date]]-45,Table24[[#This Row],[Delivery Date]]-25)</f>
        <v>44473</v>
      </c>
      <c r="P14" s="39">
        <f t="shared" ca="1" si="2"/>
        <v>44527</v>
      </c>
      <c r="Q14" s="70">
        <f ca="1">IF(OR(Table24[[#This Row],[Fabric Inhouse Target]]="",Table24[[#This Row],[Fabric Inhouse Actual]]=""),"",Table24[[#This Row],[Fabric Inhouse Actual]]-Table24[[#This Row],[Fabric Inhouse Target]])</f>
        <v>54</v>
      </c>
      <c r="R14" s="70" t="str">
        <f ca="1">IF(Table24[[#This Row],[Fabric Delay]]&lt;1, "On time","Delay")</f>
        <v>Delay</v>
      </c>
      <c r="S14" s="1" t="s">
        <v>80</v>
      </c>
      <c r="T14" s="39">
        <f ca="1">Table24[[#This Row],[Fabric Inhouse Target]]+7</f>
        <v>44480</v>
      </c>
      <c r="U14" s="1"/>
      <c r="V14" s="1"/>
      <c r="W14" s="1"/>
      <c r="X14" s="60">
        <f ca="1">Table24[[#This Row],[Loading Date]]-7</f>
        <v>44446</v>
      </c>
      <c r="Y14" s="1"/>
      <c r="Z14" s="1"/>
      <c r="AA14" s="49">
        <f ca="1">Table24[[#This Row],[Cut Qty]]/Table24[[#This Row],[Order Qty]]</f>
        <v>0</v>
      </c>
      <c r="AB14" s="79">
        <v>44430</v>
      </c>
      <c r="AC14" s="1"/>
      <c r="AD14" s="62">
        <f ca="1">Table24[[#This Row],[Ex factory Date]]-Table24[[#This Row],[Planned Cutting Date (PCD)]]</f>
        <v>-16</v>
      </c>
      <c r="AE14" s="51" t="e">
        <f>Table24[[#This Row],[Ship Qty]]/Table24[[#This Row],[Cut Qty]]</f>
        <v>#DIV/0!</v>
      </c>
      <c r="AF14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</row>
    <row r="15" spans="2:38" x14ac:dyDescent="0.35">
      <c r="B15" s="35">
        <v>12</v>
      </c>
      <c r="C15" s="20" t="s">
        <v>24</v>
      </c>
      <c r="D15" s="33" t="s">
        <v>91</v>
      </c>
      <c r="E15" s="1" t="s">
        <v>52</v>
      </c>
      <c r="F15" t="s">
        <v>103</v>
      </c>
      <c r="G15" s="33" t="s">
        <v>26</v>
      </c>
      <c r="H15" s="33" t="s">
        <v>56</v>
      </c>
      <c r="I15" s="1" t="s">
        <v>70</v>
      </c>
      <c r="J15" s="1" t="s">
        <v>62</v>
      </c>
      <c r="K15" s="33" t="s">
        <v>76</v>
      </c>
      <c r="L15" s="1">
        <f t="shared" ca="1" si="3"/>
        <v>3089</v>
      </c>
      <c r="M15" s="60">
        <f ca="1">Table24[[#This Row],[Delivery Date]]-45</f>
        <v>44379</v>
      </c>
      <c r="N15" s="60">
        <f t="shared" ca="1" si="0"/>
        <v>44424</v>
      </c>
      <c r="O15" s="60">
        <f ca="1">IF(Table24[[#This Row],[Wash Type]]="Critical",Table24[[#This Row],[Delivery Date]]-45,Table24[[#This Row],[Delivery Date]]-25)</f>
        <v>44379</v>
      </c>
      <c r="P15" s="39">
        <f t="shared" ca="1" si="2"/>
        <v>44396</v>
      </c>
      <c r="Q15" s="71">
        <f ca="1">IF(OR(Table24[[#This Row],[Fabric Inhouse Target]]="",Table24[[#This Row],[Fabric Inhouse Actual]]=""),"",Table24[[#This Row],[Fabric Inhouse Actual]]-Table24[[#This Row],[Fabric Inhouse Target]])</f>
        <v>17</v>
      </c>
      <c r="R15" s="71" t="str">
        <f ca="1">IF(Table24[[#This Row],[Fabric Delay]]&lt;1, "On time","Delay")</f>
        <v>Delay</v>
      </c>
      <c r="S15" s="33" t="s">
        <v>80</v>
      </c>
      <c r="T15" s="39">
        <f ca="1">Table24[[#This Row],[Fabric Inhouse Target]]+7</f>
        <v>44386</v>
      </c>
      <c r="U15" s="1"/>
      <c r="V15" s="1"/>
      <c r="W15" s="1"/>
      <c r="X15" s="60">
        <f ca="1">Table24[[#This Row],[Loading Date]]-7</f>
        <v>44372</v>
      </c>
      <c r="Y15" s="1"/>
      <c r="Z15" s="1"/>
      <c r="AA15" s="49">
        <f ca="1">Table24[[#This Row],[Cut Qty]]/Table24[[#This Row],[Order Qty]]</f>
        <v>0</v>
      </c>
      <c r="AB15" s="79">
        <v>44487</v>
      </c>
      <c r="AC15" s="1"/>
      <c r="AD15" s="62">
        <f ca="1">Table24[[#This Row],[Ex factory Date]]-Table24[[#This Row],[Planned Cutting Date (PCD)]]</f>
        <v>115</v>
      </c>
      <c r="AE15" s="51" t="e">
        <f>Table24[[#This Row],[Ship Qty]]/Table24[[#This Row],[Cut Qty]]</f>
        <v>#DIV/0!</v>
      </c>
      <c r="AF15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greater than 65 days</v>
      </c>
    </row>
    <row r="16" spans="2:38" x14ac:dyDescent="0.35">
      <c r="B16" s="35">
        <v>13</v>
      </c>
      <c r="C16" s="20" t="s">
        <v>84</v>
      </c>
      <c r="D16" s="33" t="s">
        <v>92</v>
      </c>
      <c r="E16" s="1" t="s">
        <v>49</v>
      </c>
      <c r="F16" t="s">
        <v>104</v>
      </c>
      <c r="G16" s="1" t="s">
        <v>16</v>
      </c>
      <c r="H16" s="1" t="s">
        <v>55</v>
      </c>
      <c r="I16" s="33" t="s">
        <v>68</v>
      </c>
      <c r="J16" s="1" t="s">
        <v>62</v>
      </c>
      <c r="K16" s="1" t="s">
        <v>73</v>
      </c>
      <c r="L16" s="1">
        <f t="shared" ca="1" si="3"/>
        <v>109</v>
      </c>
      <c r="M16" s="60">
        <f ca="1">Table24[[#This Row],[Delivery Date]]-45</f>
        <v>44468</v>
      </c>
      <c r="N16" s="60">
        <f t="shared" ca="1" si="0"/>
        <v>44513</v>
      </c>
      <c r="O16" s="60">
        <f ca="1">IF(Table24[[#This Row],[Wash Type]]="Critical",Table24[[#This Row],[Delivery Date]]-45,Table24[[#This Row],[Delivery Date]]-25)</f>
        <v>44488</v>
      </c>
      <c r="P16" s="39">
        <f t="shared" ca="1" si="2"/>
        <v>44474</v>
      </c>
      <c r="Q16" s="70">
        <f ca="1">IF(OR(Table24[[#This Row],[Fabric Inhouse Target]]="",Table24[[#This Row],[Fabric Inhouse Actual]]=""),"",Table24[[#This Row],[Fabric Inhouse Actual]]-Table24[[#This Row],[Fabric Inhouse Target]])</f>
        <v>-14</v>
      </c>
      <c r="R16" s="70" t="str">
        <f ca="1">IF(Table24[[#This Row],[Fabric Delay]]&lt;1, "On time","Delay")</f>
        <v>On time</v>
      </c>
      <c r="S16" s="1" t="s">
        <v>80</v>
      </c>
      <c r="T16" s="39">
        <f ca="1">Table24[[#This Row],[Fabric Inhouse Target]]+7</f>
        <v>44495</v>
      </c>
      <c r="U16" s="1"/>
      <c r="V16" s="1"/>
      <c r="W16" s="1"/>
      <c r="X16" s="60">
        <f ca="1">Table24[[#This Row],[Loading Date]]-7</f>
        <v>44461</v>
      </c>
      <c r="Y16" s="1"/>
      <c r="Z16" s="1"/>
      <c r="AA16" s="49">
        <f ca="1">Table24[[#This Row],[Cut Qty]]/Table24[[#This Row],[Order Qty]]</f>
        <v>0</v>
      </c>
      <c r="AB16" s="79">
        <v>44465</v>
      </c>
      <c r="AC16" s="1"/>
      <c r="AD16" s="62">
        <f ca="1">Table24[[#This Row],[Ex factory Date]]-Table24[[#This Row],[Planned Cutting Date (PCD)]]</f>
        <v>4</v>
      </c>
      <c r="AE16" s="51" t="e">
        <f>Table24[[#This Row],[Ship Qty]]/Table24[[#This Row],[Cut Qty]]</f>
        <v>#DIV/0!</v>
      </c>
      <c r="AF16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</row>
    <row r="17" spans="2:32" x14ac:dyDescent="0.35">
      <c r="B17" s="35">
        <v>14</v>
      </c>
      <c r="C17" s="32" t="s">
        <v>24</v>
      </c>
      <c r="D17" s="33" t="s">
        <v>93</v>
      </c>
      <c r="E17" s="1" t="s">
        <v>48</v>
      </c>
      <c r="F17" t="s">
        <v>105</v>
      </c>
      <c r="G17" s="1" t="s">
        <v>17</v>
      </c>
      <c r="H17" s="1" t="s">
        <v>55</v>
      </c>
      <c r="I17" s="1" t="s">
        <v>77</v>
      </c>
      <c r="J17" s="1" t="s">
        <v>64</v>
      </c>
      <c r="K17" s="1" t="s">
        <v>74</v>
      </c>
      <c r="L17" s="1">
        <f t="shared" ca="1" si="3"/>
        <v>3854</v>
      </c>
      <c r="M17" s="60">
        <f ca="1">Table24[[#This Row],[Delivery Date]]-45</f>
        <v>44472</v>
      </c>
      <c r="N17" s="60">
        <f t="shared" ca="1" si="0"/>
        <v>44517</v>
      </c>
      <c r="O17" s="60">
        <f ca="1">IF(Table24[[#This Row],[Wash Type]]="Critical",Table24[[#This Row],[Delivery Date]]-45,Table24[[#This Row],[Delivery Date]]-25)</f>
        <v>44492</v>
      </c>
      <c r="P17" s="39">
        <f t="shared" ca="1" si="2"/>
        <v>44433</v>
      </c>
      <c r="Q17" s="70">
        <f ca="1">IF(OR(Table24[[#This Row],[Fabric Inhouse Target]]="",Table24[[#This Row],[Fabric Inhouse Actual]]=""),"",Table24[[#This Row],[Fabric Inhouse Actual]]-Table24[[#This Row],[Fabric Inhouse Target]])</f>
        <v>-59</v>
      </c>
      <c r="R17" s="70" t="str">
        <f ca="1">IF(Table24[[#This Row],[Fabric Delay]]&lt;1, "On time","Delay")</f>
        <v>On time</v>
      </c>
      <c r="S17" s="1" t="s">
        <v>81</v>
      </c>
      <c r="T17" s="39">
        <f ca="1">Table24[[#This Row],[Fabric Inhouse Target]]+7</f>
        <v>44499</v>
      </c>
      <c r="U17" s="1"/>
      <c r="V17" s="1"/>
      <c r="W17" s="1"/>
      <c r="X17" s="60">
        <f ca="1">Table24[[#This Row],[Loading Date]]-7</f>
        <v>44465</v>
      </c>
      <c r="Y17" s="1"/>
      <c r="Z17" s="1"/>
      <c r="AA17" s="49">
        <f ca="1">Table24[[#This Row],[Cut Qty]]/Table24[[#This Row],[Order Qty]]</f>
        <v>0</v>
      </c>
      <c r="AB17" s="79">
        <v>44445</v>
      </c>
      <c r="AC17" s="1"/>
      <c r="AD17" s="62">
        <f ca="1">Table24[[#This Row],[Ex factory Date]]-Table24[[#This Row],[Planned Cutting Date (PCD)]]</f>
        <v>-20</v>
      </c>
      <c r="AE17" s="51" t="e">
        <f>Table24[[#This Row],[Ship Qty]]/Table24[[#This Row],[Cut Qty]]</f>
        <v>#DIV/0!</v>
      </c>
      <c r="AF17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</row>
    <row r="18" spans="2:32" x14ac:dyDescent="0.35">
      <c r="B18" s="35">
        <v>15</v>
      </c>
      <c r="C18" s="20" t="s">
        <v>23</v>
      </c>
      <c r="D18" s="33" t="s">
        <v>94</v>
      </c>
      <c r="E18" s="1" t="s">
        <v>50</v>
      </c>
      <c r="F18" t="s">
        <v>106</v>
      </c>
      <c r="G18" s="1" t="s">
        <v>20</v>
      </c>
      <c r="H18" s="1" t="s">
        <v>56</v>
      </c>
      <c r="I18" s="1" t="s">
        <v>78</v>
      </c>
      <c r="J18" s="33" t="s">
        <v>64</v>
      </c>
      <c r="K18" s="1" t="s">
        <v>73</v>
      </c>
      <c r="L18" s="1">
        <f t="shared" ca="1" si="3"/>
        <v>1207</v>
      </c>
      <c r="M18" s="60">
        <f ca="1">Table24[[#This Row],[Delivery Date]]-45</f>
        <v>44383</v>
      </c>
      <c r="N18" s="60">
        <f t="shared" ca="1" si="0"/>
        <v>44428</v>
      </c>
      <c r="O18" s="60">
        <f ca="1">IF(Table24[[#This Row],[Wash Type]]="Critical",Table24[[#This Row],[Delivery Date]]-45,Table24[[#This Row],[Delivery Date]]-25)</f>
        <v>44383</v>
      </c>
      <c r="P18" s="39">
        <f t="shared" ca="1" si="2"/>
        <v>44394</v>
      </c>
      <c r="Q18" s="70">
        <f ca="1">IF(OR(Table24[[#This Row],[Fabric Inhouse Target]]="",Table24[[#This Row],[Fabric Inhouse Actual]]=""),"",Table24[[#This Row],[Fabric Inhouse Actual]]-Table24[[#This Row],[Fabric Inhouse Target]])</f>
        <v>11</v>
      </c>
      <c r="R18" s="70" t="str">
        <f ca="1">IF(Table24[[#This Row],[Fabric Delay]]&lt;1, "On time","Delay")</f>
        <v>Delay</v>
      </c>
      <c r="S18" s="1" t="s">
        <v>81</v>
      </c>
      <c r="T18" s="39">
        <f ca="1">Table24[[#This Row],[Fabric Inhouse Target]]+7</f>
        <v>44390</v>
      </c>
      <c r="U18" s="1"/>
      <c r="V18" s="1"/>
      <c r="W18" s="1"/>
      <c r="X18" s="60">
        <f ca="1">Table24[[#This Row],[Loading Date]]-7</f>
        <v>44376</v>
      </c>
      <c r="Y18" s="1"/>
      <c r="Z18" s="1"/>
      <c r="AA18" s="49">
        <f ca="1">Table24[[#This Row],[Cut Qty]]/Table24[[#This Row],[Order Qty]]</f>
        <v>0</v>
      </c>
      <c r="AB18" s="79">
        <v>44439</v>
      </c>
      <c r="AC18" s="1"/>
      <c r="AD18" s="62">
        <f ca="1">Table24[[#This Row],[Ex factory Date]]-Table24[[#This Row],[Planned Cutting Date (PCD)]]</f>
        <v>63</v>
      </c>
      <c r="AE18" s="51" t="e">
        <f>Table24[[#This Row],[Ship Qty]]/Table24[[#This Row],[Cut Qty]]</f>
        <v>#DIV/0!</v>
      </c>
      <c r="AF18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greater than 65 days</v>
      </c>
    </row>
    <row r="19" spans="2:32" x14ac:dyDescent="0.35">
      <c r="B19" s="35">
        <v>16</v>
      </c>
      <c r="C19" s="20" t="s">
        <v>84</v>
      </c>
      <c r="D19" s="33" t="s">
        <v>95</v>
      </c>
      <c r="E19" s="1" t="s">
        <v>51</v>
      </c>
      <c r="F19" t="s">
        <v>107</v>
      </c>
      <c r="G19" s="1" t="s">
        <v>17</v>
      </c>
      <c r="H19" s="1" t="s">
        <v>54</v>
      </c>
      <c r="I19" s="1" t="s">
        <v>70</v>
      </c>
      <c r="J19" s="1" t="s">
        <v>61</v>
      </c>
      <c r="K19" s="1" t="s">
        <v>75</v>
      </c>
      <c r="L19" s="1">
        <f t="shared" ca="1" si="3"/>
        <v>4778</v>
      </c>
      <c r="M19" s="60">
        <f ca="1">Table24[[#This Row],[Delivery Date]]-45</f>
        <v>44389</v>
      </c>
      <c r="N19" s="60">
        <f t="shared" ca="1" si="0"/>
        <v>44434</v>
      </c>
      <c r="O19" s="60">
        <f ca="1">IF(Table24[[#This Row],[Wash Type]]="Critical",Table24[[#This Row],[Delivery Date]]-45,Table24[[#This Row],[Delivery Date]]-25)</f>
        <v>44409</v>
      </c>
      <c r="P19" s="39">
        <f t="shared" ca="1" si="2"/>
        <v>44512</v>
      </c>
      <c r="Q19" s="70">
        <f ca="1">IF(OR(Table24[[#This Row],[Fabric Inhouse Target]]="",Table24[[#This Row],[Fabric Inhouse Actual]]=""),"",Table24[[#This Row],[Fabric Inhouse Actual]]-Table24[[#This Row],[Fabric Inhouse Target]])</f>
        <v>103</v>
      </c>
      <c r="R19" s="70" t="str">
        <f ca="1">IF(Table24[[#This Row],[Fabric Delay]]&lt;1, "On time","Delay")</f>
        <v>Delay</v>
      </c>
      <c r="S19" s="1" t="s">
        <v>81</v>
      </c>
      <c r="T19" s="39">
        <f ca="1">Table24[[#This Row],[Fabric Inhouse Target]]+7</f>
        <v>44416</v>
      </c>
      <c r="U19" s="1"/>
      <c r="V19" s="1"/>
      <c r="W19" s="1"/>
      <c r="X19" s="60">
        <f ca="1">Table24[[#This Row],[Loading Date]]-7</f>
        <v>44382</v>
      </c>
      <c r="Y19" s="1"/>
      <c r="Z19" s="1"/>
      <c r="AA19" s="49">
        <f ca="1">Table24[[#This Row],[Cut Qty]]/Table24[[#This Row],[Order Qty]]</f>
        <v>0</v>
      </c>
      <c r="AB19" s="79">
        <v>44450</v>
      </c>
      <c r="AC19" s="1"/>
      <c r="AD19" s="62">
        <f ca="1">Table24[[#This Row],[Ex factory Date]]-Table24[[#This Row],[Planned Cutting Date (PCD)]]</f>
        <v>68</v>
      </c>
      <c r="AE19" s="51" t="e">
        <f>Table24[[#This Row],[Ship Qty]]/Table24[[#This Row],[Cut Qty]]</f>
        <v>#DIV/0!</v>
      </c>
      <c r="AF19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greater than 65 days</v>
      </c>
    </row>
    <row r="20" spans="2:32" x14ac:dyDescent="0.35">
      <c r="B20" s="35">
        <v>17</v>
      </c>
      <c r="C20" s="32" t="s">
        <v>83</v>
      </c>
      <c r="D20" s="33" t="s">
        <v>96</v>
      </c>
      <c r="E20" s="1" t="s">
        <v>52</v>
      </c>
      <c r="F20" s="53" t="s">
        <v>108</v>
      </c>
      <c r="G20" s="1" t="s">
        <v>110</v>
      </c>
      <c r="H20" s="1" t="s">
        <v>57</v>
      </c>
      <c r="I20" s="33" t="s">
        <v>68</v>
      </c>
      <c r="J20" s="1" t="s">
        <v>63</v>
      </c>
      <c r="K20" s="1" t="s">
        <v>75</v>
      </c>
      <c r="L20" s="1">
        <f t="shared" ca="1" si="3"/>
        <v>1400</v>
      </c>
      <c r="M20" s="61">
        <f ca="1">Table24[[#This Row],[Delivery Date]]-45</f>
        <v>44409</v>
      </c>
      <c r="N20" s="61">
        <f t="shared" ca="1" si="0"/>
        <v>44454</v>
      </c>
      <c r="O20" s="61">
        <f ca="1">IF(Table24[[#This Row],[Wash Type]]="Critical",Table24[[#This Row],[Delivery Date]]-45,Table24[[#This Row],[Delivery Date]]-25)</f>
        <v>44429</v>
      </c>
      <c r="P20" s="39">
        <f t="shared" ca="1" si="2"/>
        <v>44530</v>
      </c>
      <c r="Q20" s="71">
        <f ca="1">IF(OR(Table24[[#This Row],[Fabric Inhouse Target]]="",Table24[[#This Row],[Fabric Inhouse Actual]]=""),"",Table24[[#This Row],[Fabric Inhouse Actual]]-Table24[[#This Row],[Fabric Inhouse Target]])</f>
        <v>101</v>
      </c>
      <c r="R20" s="71" t="str">
        <f ca="1">IF(Table24[[#This Row],[Fabric Delay]]&lt;1, "On time","Delay")</f>
        <v>Delay</v>
      </c>
      <c r="S20" s="1" t="s">
        <v>80</v>
      </c>
      <c r="T20" s="46">
        <f ca="1">Table24[[#This Row],[Fabric Inhouse Target]]+7</f>
        <v>44436</v>
      </c>
      <c r="U20" s="33"/>
      <c r="V20" s="33"/>
      <c r="W20" s="33"/>
      <c r="X20" s="61">
        <f ca="1">Table24[[#This Row],[Loading Date]]-7</f>
        <v>44402</v>
      </c>
      <c r="Y20" s="33"/>
      <c r="Z20" s="33"/>
      <c r="AA20" s="50">
        <f ca="1">Table24[[#This Row],[Cut Qty]]/Table24[[#This Row],[Order Qty]]</f>
        <v>0</v>
      </c>
      <c r="AB20" s="79">
        <v>44409</v>
      </c>
      <c r="AC20" s="33"/>
      <c r="AD20" s="63">
        <f ca="1">Table24[[#This Row],[Ex factory Date]]-Table24[[#This Row],[Planned Cutting Date (PCD)]]</f>
        <v>7</v>
      </c>
      <c r="AE20" s="52" t="e">
        <f>Table24[[#This Row],[Ship Qty]]/Table24[[#This Row],[Cut Qty]]</f>
        <v>#DIV/0!</v>
      </c>
      <c r="AF20" s="80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</row>
    <row r="21" spans="2:32" x14ac:dyDescent="0.35">
      <c r="B21" s="35">
        <v>18</v>
      </c>
      <c r="C21" s="20" t="s">
        <v>84</v>
      </c>
      <c r="D21" s="33" t="s">
        <v>97</v>
      </c>
      <c r="E21" s="1" t="s">
        <v>49</v>
      </c>
      <c r="F21" t="s">
        <v>109</v>
      </c>
      <c r="G21" s="33" t="s">
        <v>26</v>
      </c>
      <c r="H21" s="33" t="s">
        <v>56</v>
      </c>
      <c r="I21" s="1"/>
      <c r="J21" s="1" t="s">
        <v>63</v>
      </c>
      <c r="K21" s="33" t="s">
        <v>76</v>
      </c>
      <c r="L21" s="1">
        <f ca="1">RANDBETWEEN(100,5000)</f>
        <v>458</v>
      </c>
      <c r="M21" s="60">
        <f ca="1">Table24[[#This Row],[Delivery Date]]-45</f>
        <v>44435</v>
      </c>
      <c r="N21" s="60">
        <f t="shared" ca="1" si="0"/>
        <v>44480</v>
      </c>
      <c r="O21" s="60">
        <f ca="1">IF(Table24[[#This Row],[Wash Type]]="Critical",Table24[[#This Row],[Delivery Date]]-45,Table24[[#This Row],[Delivery Date]]-25)</f>
        <v>44435</v>
      </c>
      <c r="P21" s="39">
        <f t="shared" ca="1" si="2"/>
        <v>44444</v>
      </c>
      <c r="Q21" s="71">
        <f ca="1">IF(OR(Table24[[#This Row],[Fabric Inhouse Target]]="",Table24[[#This Row],[Fabric Inhouse Actual]]=""),"",Table24[[#This Row],[Fabric Inhouse Actual]]-Table24[[#This Row],[Fabric Inhouse Target]])</f>
        <v>9</v>
      </c>
      <c r="R21" s="71" t="str">
        <f ca="1">IF(Table24[[#This Row],[Fabric Delay]]&lt;1, "On time","Delay")</f>
        <v>Delay</v>
      </c>
      <c r="S21" s="33" t="s">
        <v>80</v>
      </c>
      <c r="T21" s="39">
        <f ca="1">Table24[[#This Row],[Fabric Inhouse Target]]+7</f>
        <v>44442</v>
      </c>
      <c r="U21" s="1"/>
      <c r="V21" s="1"/>
      <c r="W21" s="1"/>
      <c r="X21" s="60">
        <f ca="1">Table24[[#This Row],[Loading Date]]-7</f>
        <v>44428</v>
      </c>
      <c r="Y21" s="1"/>
      <c r="Z21" s="1"/>
      <c r="AA21" s="49">
        <f ca="1">Table24[[#This Row],[Cut Qty]]/Table24[[#This Row],[Order Qty]]</f>
        <v>0</v>
      </c>
      <c r="AB21" s="79">
        <v>44435</v>
      </c>
      <c r="AC21" s="1"/>
      <c r="AD21" s="62">
        <f ca="1">Table24[[#This Row],[Ex factory Date]]-Table24[[#This Row],[Planned Cutting Date (PCD)]]</f>
        <v>7</v>
      </c>
      <c r="AE21" s="51" t="e">
        <f>Table24[[#This Row],[Ship Qty]]/Table24[[#This Row],[Cut Qty]]</f>
        <v>#DIV/0!</v>
      </c>
      <c r="AF21" s="82" t="str">
        <f ca="1">IF(Table24[[#This Row],[Lead time (Cut to Ex factory)]]&lt;45,"Less than 45",IF(AND(Table24[[#This Row],[Lead time (Cut to Ex factory)]]&gt;45,Table24[[#This Row],[Lead time (Cut to Ex factory)]]&lt;61),"45 to 60 days","greater than 65 days"))</f>
        <v>Less than 45</v>
      </c>
    </row>
    <row r="22" spans="2:32" x14ac:dyDescent="0.35">
      <c r="B22" s="54" t="s">
        <v>98</v>
      </c>
      <c r="C22" s="55"/>
      <c r="D22" s="56"/>
      <c r="E22" s="56"/>
      <c r="F22" s="57"/>
      <c r="G22" s="56"/>
      <c r="H22" s="56"/>
      <c r="I22" s="56"/>
      <c r="J22" s="56"/>
      <c r="K22" s="56"/>
      <c r="L22" s="56">
        <f ca="1">SUBTOTAL(109,Table24[Order Qty])</f>
        <v>45232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8"/>
      <c r="AB22" s="58"/>
      <c r="AC22" s="56"/>
      <c r="AD22" s="56"/>
      <c r="AE22" s="59">
        <f>SUBTOTAL(103,Table24[Ship %])</f>
        <v>18</v>
      </c>
      <c r="AF22" s="57"/>
    </row>
  </sheetData>
  <phoneticPr fontId="7" type="noConversion"/>
  <conditionalFormatting sqref="S4:S21">
    <cfRule type="cellIs" dxfId="34" priority="1" operator="equal">
      <formula>"Pass"</formula>
    </cfRule>
    <cfRule type="cellIs" dxfId="33" priority="2" operator="equal">
      <formula>"Fail"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847EE97B-7F6D-40DE-BEFB-171DEC655314}">
          <x14:formula1>
            <xm:f>'data validation'!$G$6:$G$9</xm:f>
          </x14:formula1>
          <xm:sqref>H4:H21</xm:sqref>
        </x14:dataValidation>
        <x14:dataValidation type="list" allowBlank="1" showInputMessage="1" showErrorMessage="1" xr:uid="{7FBD3EB0-E093-4DB9-B210-FE3A0DC12FCB}">
          <x14:formula1>
            <xm:f>'data validation'!$E$6:$E$11</xm:f>
          </x14:formula1>
          <xm:sqref>E4:E21</xm:sqref>
        </x14:dataValidation>
        <x14:dataValidation type="list" allowBlank="1" showInputMessage="1" showErrorMessage="1" xr:uid="{3ABB1D0E-D66A-44F0-B81D-AA0285680520}">
          <x14:formula1>
            <xm:f>'data validation'!$I$6:$I$10</xm:f>
          </x14:formula1>
          <xm:sqref>J4:J21</xm:sqref>
        </x14:dataValidation>
        <x14:dataValidation type="list" allowBlank="1" showInputMessage="1" showErrorMessage="1" xr:uid="{C89A38B4-1983-46BC-B1E1-8BF9349222D5}">
          <x14:formula1>
            <xm:f>'data validation'!$K$6:$K$10</xm:f>
          </x14:formula1>
          <xm:sqref>I4:I21</xm:sqref>
        </x14:dataValidation>
        <x14:dataValidation type="list" allowBlank="1" showInputMessage="1" showErrorMessage="1" xr:uid="{D367950E-7738-4F45-A74B-9718ACD3E6A3}">
          <x14:formula1>
            <xm:f>'data validation'!$L$6:$L$10</xm:f>
          </x14:formula1>
          <xm:sqref>K4:K21</xm:sqref>
        </x14:dataValidation>
        <x14:dataValidation type="list" allowBlank="1" showInputMessage="1" showErrorMessage="1" xr:uid="{5D0FB3E4-DDAE-4329-832F-2BD649C2BAB7}">
          <x14:formula1>
            <xm:f>'data validation'!$N$6:$N$7</xm:f>
          </x14:formula1>
          <xm:sqref>S4:S21</xm:sqref>
        </x14:dataValidation>
        <x14:dataValidation type="list" allowBlank="1" showInputMessage="1" showErrorMessage="1" xr:uid="{BFD91DF6-2D36-4771-B877-4691ABF9E048}">
          <x14:formula1>
            <xm:f>'data validation'!$C$6:$C$9</xm:f>
          </x14:formula1>
          <xm:sqref>C4:C21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74E8-7ADF-43D6-B93F-5185E0CBA1B4}">
  <dimension ref="A1:D10"/>
  <sheetViews>
    <sheetView workbookViewId="0">
      <selection activeCell="C17" sqref="C17"/>
    </sheetView>
  </sheetViews>
  <sheetFormatPr defaultRowHeight="14.5" x14ac:dyDescent="0.35"/>
  <cols>
    <col min="1" max="1" width="20.26953125" bestFit="1" customWidth="1"/>
    <col min="2" max="2" width="15.26953125" bestFit="1" customWidth="1"/>
    <col min="3" max="3" width="6.81640625" bestFit="1" customWidth="1"/>
    <col min="4" max="4" width="10.7265625" bestFit="1" customWidth="1"/>
    <col min="5" max="5" width="15.26953125" bestFit="1" customWidth="1"/>
    <col min="6" max="6" width="10.7265625" bestFit="1" customWidth="1"/>
  </cols>
  <sheetData>
    <row r="1" spans="1:4" x14ac:dyDescent="0.35">
      <c r="A1" s="72" t="s">
        <v>44</v>
      </c>
      <c r="B1" t="s">
        <v>116</v>
      </c>
    </row>
    <row r="3" spans="1:4" x14ac:dyDescent="0.35">
      <c r="A3" s="72" t="s">
        <v>120</v>
      </c>
      <c r="B3" s="72" t="s">
        <v>119</v>
      </c>
    </row>
    <row r="4" spans="1:4" x14ac:dyDescent="0.35">
      <c r="A4" s="72" t="s">
        <v>117</v>
      </c>
      <c r="B4" t="s">
        <v>81</v>
      </c>
      <c r="C4" t="s">
        <v>80</v>
      </c>
      <c r="D4" t="s">
        <v>118</v>
      </c>
    </row>
    <row r="5" spans="1:4" x14ac:dyDescent="0.35">
      <c r="A5" s="73" t="s">
        <v>63</v>
      </c>
      <c r="B5" s="75">
        <v>0.25</v>
      </c>
      <c r="C5" s="75">
        <v>0.75</v>
      </c>
      <c r="D5" s="75">
        <v>1</v>
      </c>
    </row>
    <row r="6" spans="1:4" x14ac:dyDescent="0.35">
      <c r="A6" s="73" t="s">
        <v>61</v>
      </c>
      <c r="B6" s="75">
        <v>0.25</v>
      </c>
      <c r="C6" s="75">
        <v>0.75</v>
      </c>
      <c r="D6" s="75">
        <v>1</v>
      </c>
    </row>
    <row r="7" spans="1:4" x14ac:dyDescent="0.35">
      <c r="A7" s="73" t="s">
        <v>60</v>
      </c>
      <c r="B7" s="75">
        <v>0.5</v>
      </c>
      <c r="C7" s="75">
        <v>0.5</v>
      </c>
      <c r="D7" s="75">
        <v>1</v>
      </c>
    </row>
    <row r="8" spans="1:4" x14ac:dyDescent="0.35">
      <c r="A8" s="73" t="s">
        <v>64</v>
      </c>
      <c r="B8" s="75">
        <v>0.75</v>
      </c>
      <c r="C8" s="75">
        <v>0.25</v>
      </c>
      <c r="D8" s="75">
        <v>1</v>
      </c>
    </row>
    <row r="9" spans="1:4" x14ac:dyDescent="0.35">
      <c r="A9" s="73" t="s">
        <v>62</v>
      </c>
      <c r="B9" s="75">
        <v>0.25</v>
      </c>
      <c r="C9" s="75">
        <v>0.75</v>
      </c>
      <c r="D9" s="75">
        <v>1</v>
      </c>
    </row>
    <row r="10" spans="1:4" x14ac:dyDescent="0.35">
      <c r="A10" s="73" t="s">
        <v>118</v>
      </c>
      <c r="B10" s="75">
        <v>0.3888888888888889</v>
      </c>
      <c r="C10" s="75">
        <v>0.61111111111111116</v>
      </c>
      <c r="D10" s="75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8CC8-278C-4B29-9572-75FD287D09B2}">
  <dimension ref="A1:L15"/>
  <sheetViews>
    <sheetView workbookViewId="0">
      <selection activeCell="F13" sqref="F13"/>
    </sheetView>
  </sheetViews>
  <sheetFormatPr defaultRowHeight="14.5" x14ac:dyDescent="0.35"/>
  <cols>
    <col min="1" max="1" width="12.36328125" bestFit="1" customWidth="1"/>
    <col min="2" max="2" width="15.08984375" bestFit="1" customWidth="1"/>
    <col min="3" max="3" width="15.7265625" bestFit="1" customWidth="1"/>
    <col min="11" max="11" width="12.36328125" bestFit="1" customWidth="1"/>
    <col min="12" max="12" width="15.08984375" bestFit="1" customWidth="1"/>
    <col min="13" max="14" width="6.81640625" bestFit="1" customWidth="1"/>
    <col min="15" max="16" width="7.81640625" bestFit="1" customWidth="1"/>
    <col min="17" max="17" width="10.7265625" bestFit="1" customWidth="1"/>
  </cols>
  <sheetData>
    <row r="1" spans="1:12" x14ac:dyDescent="0.35">
      <c r="A1" s="72" t="s">
        <v>2</v>
      </c>
      <c r="B1" t="s">
        <v>116</v>
      </c>
    </row>
    <row r="3" spans="1:12" x14ac:dyDescent="0.35">
      <c r="A3" s="72" t="s">
        <v>117</v>
      </c>
      <c r="B3" t="s">
        <v>123</v>
      </c>
      <c r="C3" t="s">
        <v>124</v>
      </c>
      <c r="K3" s="72" t="s">
        <v>117</v>
      </c>
      <c r="L3" t="s">
        <v>123</v>
      </c>
    </row>
    <row r="4" spans="1:12" x14ac:dyDescent="0.35">
      <c r="A4" s="73" t="s">
        <v>121</v>
      </c>
      <c r="B4" s="76">
        <v>0.92241666666666666</v>
      </c>
      <c r="C4" s="76">
        <v>0.98551537320810678</v>
      </c>
      <c r="K4" s="73" t="s">
        <v>15</v>
      </c>
      <c r="L4" s="76">
        <v>0.99924999999999997</v>
      </c>
    </row>
    <row r="5" spans="1:12" x14ac:dyDescent="0.35">
      <c r="A5" s="73" t="s">
        <v>47</v>
      </c>
      <c r="B5" s="76">
        <v>0.98699999999999999</v>
      </c>
      <c r="C5" s="76">
        <v>0.98885511651469093</v>
      </c>
      <c r="K5" s="73" t="s">
        <v>24</v>
      </c>
      <c r="L5" s="76">
        <v>0.84904166666666669</v>
      </c>
    </row>
    <row r="6" spans="1:12" x14ac:dyDescent="0.35">
      <c r="A6" s="73" t="s">
        <v>48</v>
      </c>
      <c r="B6" s="76">
        <v>1.0229999999999999</v>
      </c>
      <c r="C6" s="76">
        <v>0.97751710654936463</v>
      </c>
      <c r="K6" s="73" t="s">
        <v>23</v>
      </c>
      <c r="L6" s="76">
        <v>1.0229999999999999</v>
      </c>
    </row>
    <row r="7" spans="1:12" x14ac:dyDescent="0.35">
      <c r="A7" s="73" t="s">
        <v>122</v>
      </c>
      <c r="B7" s="76">
        <v>0.86475000000000002</v>
      </c>
      <c r="C7" s="76">
        <v>0.98294304712344605</v>
      </c>
      <c r="K7" s="73" t="s">
        <v>118</v>
      </c>
      <c r="L7" s="74">
        <v>0.94391666666666674</v>
      </c>
    </row>
    <row r="8" spans="1:12" x14ac:dyDescent="0.35">
      <c r="A8" s="73" t="s">
        <v>118</v>
      </c>
      <c r="B8" s="74">
        <v>0.94391666666666674</v>
      </c>
      <c r="C8" s="74">
        <v>0.98406920332074299</v>
      </c>
    </row>
    <row r="13" spans="1:12" x14ac:dyDescent="0.35">
      <c r="F13" s="100" t="s">
        <v>136</v>
      </c>
    </row>
    <row r="14" spans="1:12" x14ac:dyDescent="0.35">
      <c r="B14" s="77" t="s">
        <v>125</v>
      </c>
      <c r="C14" s="77"/>
    </row>
    <row r="15" spans="1:12" x14ac:dyDescent="0.35">
      <c r="B15" s="77" t="s">
        <v>121</v>
      </c>
      <c r="C15" s="78">
        <f>IFERROR(GETPIVOTDATA("Average of Ship %",$A$3,"Buyer","CK"),"Error")</f>
        <v>0.98551537320810678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BB19-7B2D-4D9D-8FDF-5D7B3DB12B4C}">
  <dimension ref="A3:D14"/>
  <sheetViews>
    <sheetView workbookViewId="0">
      <selection activeCell="C13" sqref="C13"/>
    </sheetView>
  </sheetViews>
  <sheetFormatPr defaultRowHeight="14.5" x14ac:dyDescent="0.35"/>
  <cols>
    <col min="1" max="1" width="22.81640625" bestFit="1" customWidth="1"/>
    <col min="2" max="2" width="15.26953125" bestFit="1" customWidth="1"/>
    <col min="3" max="3" width="16.54296875" bestFit="1" customWidth="1"/>
    <col min="4" max="4" width="10.7265625" bestFit="1" customWidth="1"/>
    <col min="5" max="18" width="3.81640625" bestFit="1" customWidth="1"/>
    <col min="19" max="19" width="10.7265625" bestFit="1" customWidth="1"/>
  </cols>
  <sheetData>
    <row r="3" spans="1:4" x14ac:dyDescent="0.35">
      <c r="A3" s="72" t="s">
        <v>133</v>
      </c>
      <c r="B3" s="72" t="s">
        <v>119</v>
      </c>
    </row>
    <row r="4" spans="1:4" x14ac:dyDescent="0.35">
      <c r="A4" s="72" t="s">
        <v>117</v>
      </c>
      <c r="B4" t="s">
        <v>131</v>
      </c>
      <c r="C4" t="s">
        <v>132</v>
      </c>
      <c r="D4" t="s">
        <v>118</v>
      </c>
    </row>
    <row r="5" spans="1:4" x14ac:dyDescent="0.35">
      <c r="A5" s="73" t="s">
        <v>24</v>
      </c>
      <c r="B5" s="74">
        <v>1</v>
      </c>
      <c r="C5" s="74">
        <v>7</v>
      </c>
      <c r="D5" s="74">
        <v>8</v>
      </c>
    </row>
    <row r="6" spans="1:4" x14ac:dyDescent="0.35">
      <c r="A6" s="73" t="s">
        <v>23</v>
      </c>
      <c r="B6" s="74"/>
      <c r="C6" s="74">
        <v>2</v>
      </c>
      <c r="D6" s="74">
        <v>2</v>
      </c>
    </row>
    <row r="7" spans="1:4" x14ac:dyDescent="0.35">
      <c r="A7" s="73" t="s">
        <v>83</v>
      </c>
      <c r="B7" s="74"/>
      <c r="C7" s="74">
        <v>3</v>
      </c>
      <c r="D7" s="74">
        <v>3</v>
      </c>
    </row>
    <row r="8" spans="1:4" x14ac:dyDescent="0.35">
      <c r="A8" s="73" t="s">
        <v>84</v>
      </c>
      <c r="B8" s="74"/>
      <c r="C8" s="74">
        <v>5</v>
      </c>
      <c r="D8" s="74">
        <v>5</v>
      </c>
    </row>
    <row r="9" spans="1:4" x14ac:dyDescent="0.35">
      <c r="A9" s="73" t="s">
        <v>118</v>
      </c>
      <c r="B9" s="74">
        <v>1</v>
      </c>
      <c r="C9" s="74">
        <v>17</v>
      </c>
      <c r="D9" s="74">
        <v>18</v>
      </c>
    </row>
    <row r="13" spans="1:4" x14ac:dyDescent="0.35">
      <c r="C13" s="100" t="s">
        <v>134</v>
      </c>
    </row>
    <row r="14" spans="1:4" x14ac:dyDescent="0.35">
      <c r="C14" s="100" t="s">
        <v>135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C84F-7151-425D-A831-6D5CA7F660D7}">
  <dimension ref="C5:N16"/>
  <sheetViews>
    <sheetView workbookViewId="0">
      <selection activeCell="A17" sqref="A17"/>
    </sheetView>
  </sheetViews>
  <sheetFormatPr defaultRowHeight="14.5" x14ac:dyDescent="0.35"/>
  <cols>
    <col min="9" max="9" width="13.1796875" bestFit="1" customWidth="1"/>
    <col min="11" max="11" width="14.26953125" customWidth="1"/>
    <col min="12" max="12" width="16.26953125" bestFit="1" customWidth="1"/>
  </cols>
  <sheetData>
    <row r="5" spans="3:14" x14ac:dyDescent="0.35">
      <c r="C5" t="s">
        <v>2</v>
      </c>
      <c r="E5" t="s">
        <v>46</v>
      </c>
      <c r="G5" t="s">
        <v>53</v>
      </c>
      <c r="I5" t="s">
        <v>59</v>
      </c>
      <c r="K5" t="s">
        <v>67</v>
      </c>
      <c r="L5" t="s">
        <v>71</v>
      </c>
      <c r="N5" t="s">
        <v>82</v>
      </c>
    </row>
    <row r="6" spans="3:14" x14ac:dyDescent="0.35">
      <c r="C6" t="s">
        <v>24</v>
      </c>
      <c r="E6" t="s">
        <v>47</v>
      </c>
      <c r="G6" t="s">
        <v>54</v>
      </c>
      <c r="I6" t="s">
        <v>60</v>
      </c>
      <c r="K6" t="s">
        <v>68</v>
      </c>
      <c r="L6" t="s">
        <v>72</v>
      </c>
      <c r="N6" t="s">
        <v>80</v>
      </c>
    </row>
    <row r="7" spans="3:14" x14ac:dyDescent="0.35">
      <c r="C7" t="s">
        <v>23</v>
      </c>
      <c r="E7" t="s">
        <v>48</v>
      </c>
      <c r="G7" t="s">
        <v>55</v>
      </c>
      <c r="I7" t="s">
        <v>61</v>
      </c>
      <c r="K7" t="s">
        <v>77</v>
      </c>
      <c r="L7" t="s">
        <v>73</v>
      </c>
      <c r="N7" t="s">
        <v>81</v>
      </c>
    </row>
    <row r="8" spans="3:14" x14ac:dyDescent="0.35">
      <c r="C8" t="s">
        <v>83</v>
      </c>
      <c r="E8" t="s">
        <v>49</v>
      </c>
      <c r="G8" t="s">
        <v>56</v>
      </c>
      <c r="I8" t="s">
        <v>62</v>
      </c>
      <c r="K8" t="s">
        <v>78</v>
      </c>
      <c r="L8" t="s">
        <v>74</v>
      </c>
    </row>
    <row r="9" spans="3:14" x14ac:dyDescent="0.35">
      <c r="C9" t="s">
        <v>84</v>
      </c>
      <c r="E9" t="s">
        <v>50</v>
      </c>
      <c r="G9" t="s">
        <v>57</v>
      </c>
      <c r="I9" t="s">
        <v>63</v>
      </c>
      <c r="K9" t="s">
        <v>69</v>
      </c>
      <c r="L9" t="s">
        <v>75</v>
      </c>
    </row>
    <row r="10" spans="3:14" x14ac:dyDescent="0.35">
      <c r="E10" t="s">
        <v>51</v>
      </c>
      <c r="I10" t="s">
        <v>64</v>
      </c>
      <c r="K10" t="s">
        <v>70</v>
      </c>
      <c r="L10" t="s">
        <v>76</v>
      </c>
    </row>
    <row r="11" spans="3:14" x14ac:dyDescent="0.35">
      <c r="E11" t="s">
        <v>52</v>
      </c>
    </row>
    <row r="16" spans="3:14" x14ac:dyDescent="0.35">
      <c r="D16" s="100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1.A good format</vt:lpstr>
      <vt:lpstr>2. Built in tables</vt:lpstr>
      <vt:lpstr>3. Data Validations</vt:lpstr>
      <vt:lpstr>4. IF-AND-OR</vt:lpstr>
      <vt:lpstr>Fabric report Pivot</vt:lpstr>
      <vt:lpstr>Timeline with Pivot</vt:lpstr>
      <vt:lpstr>lead time Summary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sanadhya</dc:creator>
  <cp:lastModifiedBy>varun sanadhya</cp:lastModifiedBy>
  <dcterms:created xsi:type="dcterms:W3CDTF">2021-06-18T04:46:11Z</dcterms:created>
  <dcterms:modified xsi:type="dcterms:W3CDTF">2021-07-05T08:45:14Z</dcterms:modified>
</cp:coreProperties>
</file>