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Ippolitov\source\repos\teampanelRSO\teampanel\RSO\Resources\"/>
    </mc:Choice>
  </mc:AlternateContent>
  <xr:revisionPtr revIDLastSave="0" documentId="13_ncr:1_{8FE112FE-0F8C-4B1F-976C-0A72C84E59B9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1 этап проверки ЭфП" sheetId="1" r:id="rId1"/>
    <sheet name="Калькулятор затрат" sheetId="4" r:id="rId2"/>
    <sheet name="Справочник цен" sheetId="3" r:id="rId3"/>
    <sheet name="Завершающий этап проверки ЭфП" sheetId="2" r:id="rId4"/>
  </sheets>
  <definedNames>
    <definedName name="_xlnm._FilterDatabase" localSheetId="2" hidden="1">'Справочник цен'!$A$2:$N$86</definedName>
    <definedName name="ВидРабот" localSheetId="2">'Справочник цен'!$Q$4:$Q$11</definedName>
    <definedName name="НаименованиеРабот">OFFSET('Справочник цен'!$A$1,MATCH('Справочник цен'!$J$7,'Справочник цен'!$A:$A,0)-1,1,COUNTIF('Справочник цен'!$A:$A,'Справочник цен'!$J$7),1)</definedName>
  </definedNames>
  <calcPr calcId="181029"/>
</workbook>
</file>

<file path=xl/calcChain.xml><?xml version="1.0" encoding="utf-8"?>
<calcChain xmlns="http://schemas.openxmlformats.org/spreadsheetml/2006/main">
  <c r="X97" i="4" l="1"/>
  <c r="V97" i="4"/>
  <c r="S97" i="4"/>
  <c r="N97" i="4"/>
  <c r="I97" i="4"/>
  <c r="X96" i="4"/>
  <c r="V96" i="4"/>
  <c r="S96" i="4"/>
  <c r="N96" i="4"/>
  <c r="I96" i="4"/>
  <c r="D7" i="1"/>
  <c r="J10" i="1"/>
  <c r="J9" i="1"/>
  <c r="J6" i="1"/>
  <c r="J14" i="1" s="1"/>
  <c r="H10" i="1"/>
  <c r="H9" i="1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O63" i="2" l="1"/>
  <c r="N63" i="2"/>
  <c r="V62" i="2"/>
  <c r="S62" i="2"/>
  <c r="O62" i="2"/>
  <c r="N62" i="2"/>
  <c r="M62" i="2"/>
  <c r="J62" i="2"/>
  <c r="F62" i="2"/>
  <c r="L62" i="2" s="1"/>
  <c r="S61" i="2"/>
  <c r="V61" i="2" s="1"/>
  <c r="O61" i="2"/>
  <c r="N61" i="2"/>
  <c r="M61" i="2"/>
  <c r="F61" i="2"/>
  <c r="L61" i="2" s="1"/>
  <c r="S60" i="2"/>
  <c r="V60" i="2" s="1"/>
  <c r="O60" i="2"/>
  <c r="N60" i="2"/>
  <c r="M60" i="2"/>
  <c r="J60" i="2"/>
  <c r="L60" i="2" s="1"/>
  <c r="F60" i="2"/>
  <c r="V58" i="2"/>
  <c r="S58" i="2"/>
  <c r="O58" i="2"/>
  <c r="N58" i="2"/>
  <c r="M58" i="2"/>
  <c r="J58" i="2"/>
  <c r="F58" i="2"/>
  <c r="L58" i="2" s="1"/>
  <c r="S57" i="2"/>
  <c r="V57" i="2" s="1"/>
  <c r="O57" i="2"/>
  <c r="N57" i="2"/>
  <c r="M57" i="2"/>
  <c r="J57" i="2"/>
  <c r="L57" i="2" s="1"/>
  <c r="F57" i="2"/>
  <c r="V56" i="2"/>
  <c r="S56" i="2"/>
  <c r="O56" i="2"/>
  <c r="N56" i="2"/>
  <c r="M56" i="2"/>
  <c r="I56" i="2"/>
  <c r="J56" i="2" s="1"/>
  <c r="L56" i="2" s="1"/>
  <c r="F56" i="2"/>
  <c r="V55" i="2"/>
  <c r="S55" i="2"/>
  <c r="O55" i="2"/>
  <c r="N55" i="2"/>
  <c r="M55" i="2"/>
  <c r="L55" i="2"/>
  <c r="J55" i="2"/>
  <c r="F55" i="2"/>
  <c r="S54" i="2"/>
  <c r="V54" i="2" s="1"/>
  <c r="O54" i="2"/>
  <c r="N54" i="2"/>
  <c r="M54" i="2"/>
  <c r="J54" i="2"/>
  <c r="L54" i="2" s="1"/>
  <c r="F54" i="2"/>
  <c r="V53" i="2"/>
  <c r="S53" i="2"/>
  <c r="O53" i="2"/>
  <c r="N53" i="2"/>
  <c r="M53" i="2"/>
  <c r="J53" i="2"/>
  <c r="F53" i="2"/>
  <c r="L53" i="2" s="1"/>
  <c r="S52" i="2"/>
  <c r="V52" i="2" s="1"/>
  <c r="O52" i="2"/>
  <c r="N52" i="2"/>
  <c r="M52" i="2"/>
  <c r="J52" i="2"/>
  <c r="L52" i="2" s="1"/>
  <c r="F52" i="2"/>
  <c r="V51" i="2"/>
  <c r="S51" i="2"/>
  <c r="N51" i="2"/>
  <c r="M51" i="2"/>
  <c r="L51" i="2"/>
  <c r="K51" i="2"/>
  <c r="J51" i="2"/>
  <c r="F51" i="2"/>
  <c r="V50" i="2"/>
  <c r="S50" i="2"/>
  <c r="O50" i="2"/>
  <c r="N50" i="2"/>
  <c r="M50" i="2"/>
  <c r="L50" i="2"/>
  <c r="J50" i="2"/>
  <c r="F50" i="2"/>
  <c r="S49" i="2"/>
  <c r="V49" i="2" s="1"/>
  <c r="O49" i="2"/>
  <c r="N49" i="2"/>
  <c r="M49" i="2"/>
  <c r="J49" i="2"/>
  <c r="L49" i="2" s="1"/>
  <c r="F49" i="2"/>
  <c r="V48" i="2"/>
  <c r="S48" i="2"/>
  <c r="O48" i="2"/>
  <c r="N48" i="2"/>
  <c r="M48" i="2"/>
  <c r="J48" i="2"/>
  <c r="F48" i="2"/>
  <c r="L48" i="2" s="1"/>
  <c r="S47" i="2"/>
  <c r="V47" i="2" s="1"/>
  <c r="O47" i="2"/>
  <c r="N47" i="2"/>
  <c r="M47" i="2"/>
  <c r="J47" i="2"/>
  <c r="L47" i="2" s="1"/>
  <c r="F47" i="2"/>
  <c r="V46" i="2"/>
  <c r="S46" i="2"/>
  <c r="O46" i="2"/>
  <c r="N46" i="2"/>
  <c r="J46" i="2"/>
  <c r="J63" i="2" s="1"/>
  <c r="I46" i="2"/>
  <c r="F46" i="2"/>
  <c r="E46" i="2"/>
  <c r="G45" i="2"/>
  <c r="F45" i="2"/>
  <c r="D45" i="2"/>
  <c r="F44" i="2"/>
  <c r="E44" i="2"/>
  <c r="G44" i="2" s="1"/>
  <c r="D44" i="2"/>
  <c r="N43" i="2"/>
  <c r="K43" i="2"/>
  <c r="O43" i="2" s="1"/>
  <c r="J43" i="2"/>
  <c r="L43" i="2" s="1"/>
  <c r="G43" i="2"/>
  <c r="F43" i="2"/>
  <c r="K42" i="2"/>
  <c r="J42" i="2"/>
  <c r="L42" i="2" s="1"/>
  <c r="F42" i="2"/>
  <c r="E42" i="2"/>
  <c r="D42" i="2"/>
  <c r="K41" i="2"/>
  <c r="J41" i="2"/>
  <c r="F41" i="2"/>
  <c r="L41" i="2" s="1"/>
  <c r="D41" i="2"/>
  <c r="K40" i="2"/>
  <c r="O40" i="2" s="1"/>
  <c r="J40" i="2"/>
  <c r="G40" i="2"/>
  <c r="F40" i="2"/>
  <c r="L40" i="2" s="1"/>
  <c r="K39" i="2"/>
  <c r="O39" i="2" s="1"/>
  <c r="J39" i="2"/>
  <c r="G39" i="2"/>
  <c r="F39" i="2"/>
  <c r="L39" i="2" s="1"/>
  <c r="K38" i="2"/>
  <c r="O38" i="2" s="1"/>
  <c r="J38" i="2"/>
  <c r="G38" i="2"/>
  <c r="F38" i="2"/>
  <c r="L38" i="2" s="1"/>
  <c r="K37" i="2"/>
  <c r="O37" i="2" s="1"/>
  <c r="J37" i="2"/>
  <c r="G37" i="2"/>
  <c r="F37" i="2"/>
  <c r="L37" i="2" s="1"/>
  <c r="L36" i="2"/>
  <c r="K36" i="2"/>
  <c r="O36" i="2" s="1"/>
  <c r="J36" i="2"/>
  <c r="V35" i="2"/>
  <c r="S35" i="2"/>
  <c r="N35" i="2"/>
  <c r="K35" i="2"/>
  <c r="J35" i="2"/>
  <c r="G35" i="2"/>
  <c r="F35" i="2"/>
  <c r="L35" i="2" s="1"/>
  <c r="E35" i="2"/>
  <c r="V34" i="2"/>
  <c r="S34" i="2"/>
  <c r="N34" i="2"/>
  <c r="L34" i="2"/>
  <c r="J34" i="2"/>
  <c r="F34" i="2"/>
  <c r="Q33" i="2"/>
  <c r="S33" i="2" s="1"/>
  <c r="V33" i="2" s="1"/>
  <c r="N33" i="2"/>
  <c r="K33" i="2"/>
  <c r="O33" i="2" s="1"/>
  <c r="J33" i="2"/>
  <c r="G33" i="2"/>
  <c r="F33" i="2"/>
  <c r="L33" i="2" s="1"/>
  <c r="S32" i="2"/>
  <c r="V32" i="2" s="1"/>
  <c r="Q32" i="2"/>
  <c r="N32" i="2"/>
  <c r="K32" i="2"/>
  <c r="O32" i="2" s="1"/>
  <c r="J32" i="2"/>
  <c r="L32" i="2" s="1"/>
  <c r="G32" i="2"/>
  <c r="F32" i="2"/>
  <c r="S31" i="2"/>
  <c r="V31" i="2" s="1"/>
  <c r="K31" i="2"/>
  <c r="N31" i="2" s="1"/>
  <c r="J31" i="2"/>
  <c r="L31" i="2" s="1"/>
  <c r="G31" i="2"/>
  <c r="F31" i="2"/>
  <c r="V30" i="2"/>
  <c r="S30" i="2"/>
  <c r="N30" i="2"/>
  <c r="K30" i="2"/>
  <c r="J30" i="2"/>
  <c r="G30" i="2"/>
  <c r="F30" i="2"/>
  <c r="L30" i="2" s="1"/>
  <c r="S29" i="2"/>
  <c r="V29" i="2" s="1"/>
  <c r="Q29" i="2"/>
  <c r="N29" i="2"/>
  <c r="K29" i="2"/>
  <c r="O29" i="2" s="1"/>
  <c r="J29" i="2"/>
  <c r="L29" i="2" s="1"/>
  <c r="G29" i="2"/>
  <c r="F29" i="2"/>
  <c r="S28" i="2"/>
  <c r="V28" i="2" s="1"/>
  <c r="N28" i="2"/>
  <c r="J28" i="2"/>
  <c r="E28" i="2"/>
  <c r="S27" i="2"/>
  <c r="V27" i="2" s="1"/>
  <c r="K27" i="2"/>
  <c r="J27" i="2"/>
  <c r="L27" i="2" s="1"/>
  <c r="G27" i="2"/>
  <c r="F27" i="2"/>
  <c r="V26" i="2"/>
  <c r="S26" i="2"/>
  <c r="N26" i="2"/>
  <c r="K26" i="2"/>
  <c r="J26" i="2"/>
  <c r="L26" i="2" s="1"/>
  <c r="G26" i="2"/>
  <c r="F26" i="2"/>
  <c r="Q25" i="2"/>
  <c r="N25" i="2"/>
  <c r="K25" i="2"/>
  <c r="O25" i="2" s="1"/>
  <c r="J25" i="2"/>
  <c r="G25" i="2"/>
  <c r="F25" i="2"/>
  <c r="L25" i="2" s="1"/>
  <c r="S24" i="2"/>
  <c r="V24" i="2" s="1"/>
  <c r="Q24" i="2"/>
  <c r="N24" i="2"/>
  <c r="K24" i="2"/>
  <c r="O24" i="2" s="1"/>
  <c r="J24" i="2"/>
  <c r="L24" i="2" s="1"/>
  <c r="G24" i="2"/>
  <c r="F24" i="2"/>
  <c r="Q23" i="2"/>
  <c r="N23" i="2"/>
  <c r="K23" i="2"/>
  <c r="O23" i="2" s="1"/>
  <c r="J23" i="2"/>
  <c r="G23" i="2"/>
  <c r="F23" i="2"/>
  <c r="L23" i="2" s="1"/>
  <c r="S22" i="2"/>
  <c r="V22" i="2" s="1"/>
  <c r="Q22" i="2"/>
  <c r="N22" i="2"/>
  <c r="K22" i="2"/>
  <c r="O22" i="2" s="1"/>
  <c r="J22" i="2"/>
  <c r="L22" i="2" s="1"/>
  <c r="G22" i="2"/>
  <c r="F22" i="2"/>
  <c r="Q21" i="2"/>
  <c r="N21" i="2"/>
  <c r="K21" i="2"/>
  <c r="O21" i="2" s="1"/>
  <c r="J21" i="2"/>
  <c r="G21" i="2"/>
  <c r="F21" i="2"/>
  <c r="L21" i="2" s="1"/>
  <c r="J20" i="2"/>
  <c r="L20" i="2" s="1"/>
  <c r="I20" i="2"/>
  <c r="K20" i="2" s="1"/>
  <c r="N20" i="2" s="1"/>
  <c r="H20" i="2"/>
  <c r="F20" i="2"/>
  <c r="E20" i="2"/>
  <c r="G20" i="2" s="1"/>
  <c r="D20" i="2"/>
  <c r="N19" i="2"/>
  <c r="I19" i="2"/>
  <c r="J19" i="2" s="1"/>
  <c r="S18" i="2"/>
  <c r="O18" i="2"/>
  <c r="K18" i="2"/>
  <c r="N18" i="2" s="1"/>
  <c r="J18" i="2"/>
  <c r="G18" i="2"/>
  <c r="F18" i="2"/>
  <c r="V17" i="2"/>
  <c r="S17" i="2"/>
  <c r="N17" i="2"/>
  <c r="K17" i="2"/>
  <c r="J17" i="2"/>
  <c r="G17" i="2"/>
  <c r="F17" i="2"/>
  <c r="L17" i="2" s="1"/>
  <c r="S16" i="2"/>
  <c r="V16" i="2" s="1"/>
  <c r="Q16" i="2"/>
  <c r="N16" i="2"/>
  <c r="L16" i="2"/>
  <c r="I16" i="2"/>
  <c r="J16" i="2" s="1"/>
  <c r="F16" i="2"/>
  <c r="V15" i="2"/>
  <c r="Q15" i="2"/>
  <c r="S15" i="2" s="1"/>
  <c r="P15" i="2"/>
  <c r="N15" i="2"/>
  <c r="K15" i="2"/>
  <c r="O15" i="2" s="1"/>
  <c r="J15" i="2"/>
  <c r="L15" i="2" s="1"/>
  <c r="G15" i="2"/>
  <c r="F15" i="2"/>
  <c r="Q14" i="2"/>
  <c r="P14" i="2"/>
  <c r="K14" i="2"/>
  <c r="J14" i="2"/>
  <c r="L14" i="2" s="1"/>
  <c r="G14" i="2"/>
  <c r="F14" i="2"/>
  <c r="N13" i="2"/>
  <c r="J13" i="2"/>
  <c r="I13" i="2"/>
  <c r="I63" i="2" s="1"/>
  <c r="F13" i="2"/>
  <c r="S12" i="2"/>
  <c r="V12" i="2" s="1"/>
  <c r="K12" i="2"/>
  <c r="J12" i="2"/>
  <c r="G12" i="2"/>
  <c r="F12" i="2"/>
  <c r="V11" i="2"/>
  <c r="S11" i="2"/>
  <c r="K11" i="2"/>
  <c r="J11" i="2"/>
  <c r="G11" i="2"/>
  <c r="N11" i="2" s="1"/>
  <c r="F11" i="2"/>
  <c r="S10" i="2"/>
  <c r="K10" i="2"/>
  <c r="J10" i="2"/>
  <c r="G10" i="2"/>
  <c r="O10" i="2" s="1"/>
  <c r="F10" i="2"/>
  <c r="V9" i="2"/>
  <c r="S9" i="2"/>
  <c r="K9" i="2"/>
  <c r="J9" i="2"/>
  <c r="G9" i="2"/>
  <c r="N9" i="2" s="1"/>
  <c r="F9" i="2"/>
  <c r="L9" i="2" s="1"/>
  <c r="S8" i="2"/>
  <c r="V8" i="2" s="1"/>
  <c r="K8" i="2"/>
  <c r="J8" i="2"/>
  <c r="G8" i="2"/>
  <c r="F8" i="2"/>
  <c r="L12" i="2" l="1"/>
  <c r="L11" i="2"/>
  <c r="N10" i="2"/>
  <c r="L8" i="2"/>
  <c r="O12" i="2"/>
  <c r="S14" i="2"/>
  <c r="V14" i="2" s="1"/>
  <c r="Q13" i="2"/>
  <c r="V18" i="2"/>
  <c r="E19" i="2"/>
  <c r="F19" i="2" s="1"/>
  <c r="F63" i="2" s="1"/>
  <c r="L63" i="2" s="1"/>
  <c r="F28" i="2"/>
  <c r="L28" i="2" s="1"/>
  <c r="S23" i="2"/>
  <c r="V23" i="2" s="1"/>
  <c r="V10" i="2"/>
  <c r="O14" i="2"/>
  <c r="S21" i="2"/>
  <c r="V21" i="2" s="1"/>
  <c r="Q20" i="2"/>
  <c r="S25" i="2"/>
  <c r="V25" i="2" s="1"/>
  <c r="E63" i="2"/>
  <c r="L13" i="2"/>
  <c r="L19" i="2"/>
  <c r="O20" i="2"/>
  <c r="O31" i="2"/>
  <c r="N8" i="2"/>
  <c r="L10" i="2"/>
  <c r="O11" i="2"/>
  <c r="N12" i="2"/>
  <c r="N14" i="2"/>
  <c r="L18" i="2"/>
  <c r="O26" i="2"/>
  <c r="N27" i="2"/>
  <c r="N36" i="2"/>
  <c r="N37" i="2"/>
  <c r="N38" i="2"/>
  <c r="N39" i="2"/>
  <c r="N40" i="2"/>
  <c r="G41" i="2"/>
  <c r="N41" i="2" s="1"/>
  <c r="L46" i="2"/>
  <c r="O8" i="2"/>
  <c r="O27" i="2"/>
  <c r="O9" i="2"/>
  <c r="O17" i="2"/>
  <c r="O30" i="2"/>
  <c r="O35" i="2"/>
  <c r="G42" i="2"/>
  <c r="N42" i="2" s="1"/>
  <c r="O51" i="2"/>
  <c r="J90" i="3"/>
  <c r="S13" i="2" l="1"/>
  <c r="V13" i="2" s="1"/>
  <c r="O41" i="2"/>
  <c r="S20" i="2"/>
  <c r="V20" i="2" s="1"/>
  <c r="Q19" i="2"/>
  <c r="O42" i="2"/>
  <c r="C5" i="4"/>
  <c r="F5" i="4"/>
  <c r="H5" i="4"/>
  <c r="G5" i="4" s="1"/>
  <c r="M5" i="4"/>
  <c r="N5" i="4"/>
  <c r="R5" i="4"/>
  <c r="S5" i="4"/>
  <c r="W5" i="4"/>
  <c r="X5" i="4"/>
  <c r="C6" i="4"/>
  <c r="F6" i="4"/>
  <c r="H6" i="4"/>
  <c r="M6" i="4"/>
  <c r="N6" i="4"/>
  <c r="R6" i="4"/>
  <c r="S6" i="4"/>
  <c r="W6" i="4"/>
  <c r="X6" i="4"/>
  <c r="C7" i="4"/>
  <c r="F7" i="4"/>
  <c r="H7" i="4"/>
  <c r="M7" i="4"/>
  <c r="N7" i="4"/>
  <c r="R7" i="4"/>
  <c r="S7" i="4"/>
  <c r="W7" i="4"/>
  <c r="X7" i="4"/>
  <c r="C8" i="4"/>
  <c r="F8" i="4"/>
  <c r="H8" i="4"/>
  <c r="M8" i="4"/>
  <c r="N8" i="4"/>
  <c r="R8" i="4"/>
  <c r="S8" i="4"/>
  <c r="W8" i="4"/>
  <c r="X8" i="4"/>
  <c r="C9" i="4"/>
  <c r="F9" i="4"/>
  <c r="H9" i="4"/>
  <c r="M9" i="4"/>
  <c r="N9" i="4"/>
  <c r="R9" i="4"/>
  <c r="S9" i="4"/>
  <c r="W9" i="4"/>
  <c r="X9" i="4"/>
  <c r="C10" i="4"/>
  <c r="F10" i="4"/>
  <c r="H10" i="4"/>
  <c r="M10" i="4"/>
  <c r="N10" i="4"/>
  <c r="R10" i="4"/>
  <c r="S10" i="4"/>
  <c r="W10" i="4"/>
  <c r="X10" i="4"/>
  <c r="C11" i="4"/>
  <c r="F11" i="4"/>
  <c r="E11" i="4" s="1"/>
  <c r="H11" i="4"/>
  <c r="G11" i="4" s="1"/>
  <c r="M11" i="4"/>
  <c r="N11" i="4"/>
  <c r="R11" i="4"/>
  <c r="S11" i="4"/>
  <c r="W11" i="4"/>
  <c r="X11" i="4"/>
  <c r="C12" i="4"/>
  <c r="F12" i="4"/>
  <c r="H12" i="4"/>
  <c r="M12" i="4"/>
  <c r="N12" i="4"/>
  <c r="R12" i="4"/>
  <c r="S12" i="4"/>
  <c r="W12" i="4"/>
  <c r="X12" i="4"/>
  <c r="C13" i="4"/>
  <c r="F13" i="4"/>
  <c r="H13" i="4"/>
  <c r="M13" i="4"/>
  <c r="N13" i="4"/>
  <c r="R13" i="4"/>
  <c r="S13" i="4"/>
  <c r="W13" i="4"/>
  <c r="X13" i="4"/>
  <c r="C14" i="4"/>
  <c r="F14" i="4"/>
  <c r="H14" i="4"/>
  <c r="M14" i="4"/>
  <c r="N14" i="4"/>
  <c r="R14" i="4"/>
  <c r="S14" i="4"/>
  <c r="W14" i="4"/>
  <c r="X14" i="4"/>
  <c r="C15" i="4"/>
  <c r="F15" i="4"/>
  <c r="H15" i="4"/>
  <c r="M15" i="4"/>
  <c r="N15" i="4"/>
  <c r="R15" i="4"/>
  <c r="S15" i="4"/>
  <c r="W15" i="4"/>
  <c r="X15" i="4"/>
  <c r="C16" i="4"/>
  <c r="F16" i="4"/>
  <c r="H16" i="4"/>
  <c r="M16" i="4"/>
  <c r="N16" i="4"/>
  <c r="R16" i="4"/>
  <c r="S16" i="4"/>
  <c r="W16" i="4"/>
  <c r="X16" i="4"/>
  <c r="C17" i="4"/>
  <c r="F17" i="4"/>
  <c r="H17" i="4"/>
  <c r="M17" i="4"/>
  <c r="N17" i="4"/>
  <c r="R17" i="4"/>
  <c r="S17" i="4"/>
  <c r="W17" i="4"/>
  <c r="X17" i="4"/>
  <c r="C18" i="4"/>
  <c r="F18" i="4"/>
  <c r="H18" i="4"/>
  <c r="M18" i="4"/>
  <c r="N18" i="4"/>
  <c r="R18" i="4"/>
  <c r="S18" i="4"/>
  <c r="W18" i="4"/>
  <c r="X18" i="4"/>
  <c r="C19" i="4"/>
  <c r="F19" i="4"/>
  <c r="H19" i="4"/>
  <c r="M19" i="4"/>
  <c r="N19" i="4"/>
  <c r="R19" i="4"/>
  <c r="S19" i="4"/>
  <c r="W19" i="4"/>
  <c r="X19" i="4"/>
  <c r="C20" i="4"/>
  <c r="F20" i="4"/>
  <c r="H20" i="4"/>
  <c r="M20" i="4"/>
  <c r="N20" i="4"/>
  <c r="R20" i="4"/>
  <c r="S20" i="4"/>
  <c r="W20" i="4"/>
  <c r="X20" i="4"/>
  <c r="C21" i="4"/>
  <c r="F21" i="4"/>
  <c r="H21" i="4"/>
  <c r="M21" i="4"/>
  <c r="N21" i="4"/>
  <c r="R21" i="4"/>
  <c r="S21" i="4"/>
  <c r="W21" i="4"/>
  <c r="X21" i="4"/>
  <c r="C22" i="4"/>
  <c r="F22" i="4"/>
  <c r="H22" i="4"/>
  <c r="M22" i="4"/>
  <c r="N22" i="4"/>
  <c r="R22" i="4"/>
  <c r="S22" i="4"/>
  <c r="W22" i="4"/>
  <c r="X22" i="4"/>
  <c r="C23" i="4"/>
  <c r="F23" i="4"/>
  <c r="H23" i="4"/>
  <c r="M23" i="4"/>
  <c r="N23" i="4"/>
  <c r="R23" i="4"/>
  <c r="S23" i="4"/>
  <c r="W23" i="4"/>
  <c r="X23" i="4"/>
  <c r="C24" i="4"/>
  <c r="F24" i="4"/>
  <c r="H24" i="4"/>
  <c r="M24" i="4"/>
  <c r="N24" i="4"/>
  <c r="R24" i="4"/>
  <c r="S24" i="4"/>
  <c r="W24" i="4"/>
  <c r="X24" i="4"/>
  <c r="C25" i="4"/>
  <c r="F25" i="4"/>
  <c r="H25" i="4"/>
  <c r="M25" i="4"/>
  <c r="N25" i="4"/>
  <c r="R25" i="4"/>
  <c r="S25" i="4"/>
  <c r="W25" i="4"/>
  <c r="X25" i="4"/>
  <c r="C26" i="4"/>
  <c r="F26" i="4"/>
  <c r="H26" i="4"/>
  <c r="M26" i="4"/>
  <c r="N26" i="4"/>
  <c r="R26" i="4"/>
  <c r="S26" i="4"/>
  <c r="W26" i="4"/>
  <c r="X26" i="4"/>
  <c r="C27" i="4"/>
  <c r="F27" i="4"/>
  <c r="H27" i="4"/>
  <c r="M27" i="4"/>
  <c r="N27" i="4"/>
  <c r="R27" i="4"/>
  <c r="S27" i="4"/>
  <c r="W27" i="4"/>
  <c r="X27" i="4"/>
  <c r="C28" i="4"/>
  <c r="F28" i="4"/>
  <c r="H28" i="4"/>
  <c r="M28" i="4"/>
  <c r="N28" i="4"/>
  <c r="R28" i="4"/>
  <c r="S28" i="4"/>
  <c r="W28" i="4"/>
  <c r="X28" i="4"/>
  <c r="C29" i="4"/>
  <c r="F29" i="4"/>
  <c r="H29" i="4"/>
  <c r="M29" i="4"/>
  <c r="N29" i="4"/>
  <c r="R29" i="4"/>
  <c r="S29" i="4"/>
  <c r="W29" i="4"/>
  <c r="X29" i="4"/>
  <c r="C30" i="4"/>
  <c r="F30" i="4"/>
  <c r="H30" i="4"/>
  <c r="M30" i="4"/>
  <c r="N30" i="4"/>
  <c r="R30" i="4"/>
  <c r="S30" i="4"/>
  <c r="W30" i="4"/>
  <c r="X30" i="4"/>
  <c r="C31" i="4"/>
  <c r="F31" i="4"/>
  <c r="H31" i="4"/>
  <c r="M31" i="4"/>
  <c r="N31" i="4"/>
  <c r="R31" i="4"/>
  <c r="S31" i="4"/>
  <c r="W31" i="4"/>
  <c r="X31" i="4"/>
  <c r="C32" i="4"/>
  <c r="F32" i="4"/>
  <c r="H32" i="4"/>
  <c r="M32" i="4"/>
  <c r="N32" i="4"/>
  <c r="R32" i="4"/>
  <c r="S32" i="4"/>
  <c r="W32" i="4"/>
  <c r="X32" i="4"/>
  <c r="C33" i="4"/>
  <c r="F33" i="4"/>
  <c r="H33" i="4"/>
  <c r="M33" i="4"/>
  <c r="N33" i="4"/>
  <c r="R33" i="4"/>
  <c r="S33" i="4"/>
  <c r="W33" i="4"/>
  <c r="X33" i="4"/>
  <c r="C34" i="4"/>
  <c r="F34" i="4"/>
  <c r="H34" i="4"/>
  <c r="M34" i="4"/>
  <c r="N34" i="4"/>
  <c r="R34" i="4"/>
  <c r="S34" i="4"/>
  <c r="W34" i="4"/>
  <c r="X34" i="4"/>
  <c r="C35" i="4"/>
  <c r="F35" i="4"/>
  <c r="H35" i="4"/>
  <c r="M35" i="4"/>
  <c r="N35" i="4"/>
  <c r="R35" i="4"/>
  <c r="S35" i="4"/>
  <c r="W35" i="4"/>
  <c r="X35" i="4"/>
  <c r="C36" i="4"/>
  <c r="F36" i="4"/>
  <c r="H36" i="4"/>
  <c r="M36" i="4"/>
  <c r="N36" i="4"/>
  <c r="R36" i="4"/>
  <c r="S36" i="4"/>
  <c r="W36" i="4"/>
  <c r="X36" i="4"/>
  <c r="C37" i="4"/>
  <c r="F37" i="4"/>
  <c r="H37" i="4"/>
  <c r="M37" i="4"/>
  <c r="N37" i="4"/>
  <c r="R37" i="4"/>
  <c r="S37" i="4"/>
  <c r="W37" i="4"/>
  <c r="X37" i="4"/>
  <c r="C38" i="4"/>
  <c r="F38" i="4"/>
  <c r="H38" i="4"/>
  <c r="M38" i="4"/>
  <c r="N38" i="4"/>
  <c r="R38" i="4"/>
  <c r="S38" i="4"/>
  <c r="W38" i="4"/>
  <c r="X38" i="4"/>
  <c r="C39" i="4"/>
  <c r="F39" i="4"/>
  <c r="H39" i="4"/>
  <c r="M39" i="4"/>
  <c r="N39" i="4"/>
  <c r="R39" i="4"/>
  <c r="S39" i="4"/>
  <c r="W39" i="4"/>
  <c r="X39" i="4"/>
  <c r="C40" i="4"/>
  <c r="F40" i="4"/>
  <c r="H40" i="4"/>
  <c r="M40" i="4"/>
  <c r="N40" i="4"/>
  <c r="R40" i="4"/>
  <c r="S40" i="4"/>
  <c r="W40" i="4"/>
  <c r="X40" i="4"/>
  <c r="C41" i="4"/>
  <c r="F41" i="4"/>
  <c r="H41" i="4"/>
  <c r="M41" i="4"/>
  <c r="N41" i="4"/>
  <c r="R41" i="4"/>
  <c r="S41" i="4"/>
  <c r="W41" i="4"/>
  <c r="X41" i="4"/>
  <c r="C42" i="4"/>
  <c r="F42" i="4"/>
  <c r="H42" i="4"/>
  <c r="M42" i="4"/>
  <c r="N42" i="4"/>
  <c r="R42" i="4"/>
  <c r="S42" i="4"/>
  <c r="W42" i="4"/>
  <c r="X42" i="4"/>
  <c r="C43" i="4"/>
  <c r="F43" i="4"/>
  <c r="H43" i="4"/>
  <c r="M43" i="4"/>
  <c r="N43" i="4"/>
  <c r="R43" i="4"/>
  <c r="S43" i="4"/>
  <c r="W43" i="4"/>
  <c r="X43" i="4"/>
  <c r="C44" i="4"/>
  <c r="F44" i="4"/>
  <c r="H44" i="4"/>
  <c r="M44" i="4"/>
  <c r="N44" i="4"/>
  <c r="R44" i="4"/>
  <c r="S44" i="4"/>
  <c r="W44" i="4"/>
  <c r="X44" i="4"/>
  <c r="C45" i="4"/>
  <c r="F45" i="4"/>
  <c r="H45" i="4"/>
  <c r="M45" i="4"/>
  <c r="N45" i="4"/>
  <c r="R45" i="4"/>
  <c r="S45" i="4"/>
  <c r="W45" i="4"/>
  <c r="X45" i="4"/>
  <c r="C46" i="4"/>
  <c r="F46" i="4"/>
  <c r="H46" i="4"/>
  <c r="M46" i="4"/>
  <c r="N46" i="4"/>
  <c r="R46" i="4"/>
  <c r="S46" i="4"/>
  <c r="W46" i="4"/>
  <c r="X46" i="4"/>
  <c r="C47" i="4"/>
  <c r="F47" i="4"/>
  <c r="H47" i="4"/>
  <c r="M47" i="4"/>
  <c r="N47" i="4"/>
  <c r="R47" i="4"/>
  <c r="S47" i="4"/>
  <c r="W47" i="4"/>
  <c r="X47" i="4"/>
  <c r="C48" i="4"/>
  <c r="F48" i="4"/>
  <c r="H48" i="4"/>
  <c r="M48" i="4"/>
  <c r="N48" i="4"/>
  <c r="R48" i="4"/>
  <c r="S48" i="4"/>
  <c r="W48" i="4"/>
  <c r="X48" i="4"/>
  <c r="C49" i="4"/>
  <c r="F49" i="4"/>
  <c r="H49" i="4"/>
  <c r="M49" i="4"/>
  <c r="N49" i="4"/>
  <c r="R49" i="4"/>
  <c r="S49" i="4"/>
  <c r="W49" i="4"/>
  <c r="X49" i="4"/>
  <c r="C50" i="4"/>
  <c r="F50" i="4"/>
  <c r="H50" i="4"/>
  <c r="M50" i="4"/>
  <c r="N50" i="4"/>
  <c r="R50" i="4"/>
  <c r="S50" i="4"/>
  <c r="W50" i="4"/>
  <c r="X50" i="4"/>
  <c r="C51" i="4"/>
  <c r="F51" i="4"/>
  <c r="H51" i="4"/>
  <c r="M51" i="4"/>
  <c r="N51" i="4"/>
  <c r="R51" i="4"/>
  <c r="S51" i="4"/>
  <c r="W51" i="4"/>
  <c r="X51" i="4"/>
  <c r="C52" i="4"/>
  <c r="F52" i="4"/>
  <c r="H52" i="4"/>
  <c r="M52" i="4"/>
  <c r="N52" i="4"/>
  <c r="R52" i="4"/>
  <c r="S52" i="4"/>
  <c r="W52" i="4"/>
  <c r="X52" i="4"/>
  <c r="C53" i="4"/>
  <c r="F53" i="4"/>
  <c r="H53" i="4"/>
  <c r="M53" i="4"/>
  <c r="N53" i="4"/>
  <c r="R53" i="4"/>
  <c r="S53" i="4"/>
  <c r="W53" i="4"/>
  <c r="X53" i="4"/>
  <c r="C54" i="4"/>
  <c r="F54" i="4"/>
  <c r="H54" i="4"/>
  <c r="M54" i="4"/>
  <c r="N54" i="4"/>
  <c r="R54" i="4"/>
  <c r="S54" i="4"/>
  <c r="W54" i="4"/>
  <c r="X54" i="4"/>
  <c r="C55" i="4"/>
  <c r="F55" i="4"/>
  <c r="H55" i="4"/>
  <c r="M55" i="4"/>
  <c r="N55" i="4"/>
  <c r="R55" i="4"/>
  <c r="S55" i="4"/>
  <c r="W55" i="4"/>
  <c r="X55" i="4"/>
  <c r="C56" i="4"/>
  <c r="F56" i="4"/>
  <c r="H56" i="4"/>
  <c r="M56" i="4"/>
  <c r="N56" i="4"/>
  <c r="R56" i="4"/>
  <c r="S56" i="4"/>
  <c r="W56" i="4"/>
  <c r="X56" i="4"/>
  <c r="C57" i="4"/>
  <c r="F57" i="4"/>
  <c r="H57" i="4"/>
  <c r="M57" i="4"/>
  <c r="N57" i="4"/>
  <c r="R57" i="4"/>
  <c r="S57" i="4"/>
  <c r="W57" i="4"/>
  <c r="X57" i="4"/>
  <c r="C58" i="4"/>
  <c r="F58" i="4"/>
  <c r="H58" i="4"/>
  <c r="M58" i="4"/>
  <c r="N58" i="4"/>
  <c r="R58" i="4"/>
  <c r="S58" i="4"/>
  <c r="W58" i="4"/>
  <c r="X58" i="4"/>
  <c r="C59" i="4"/>
  <c r="F59" i="4"/>
  <c r="H59" i="4"/>
  <c r="M59" i="4"/>
  <c r="N59" i="4"/>
  <c r="R59" i="4"/>
  <c r="S59" i="4"/>
  <c r="W59" i="4"/>
  <c r="X59" i="4"/>
  <c r="C60" i="4"/>
  <c r="F60" i="4"/>
  <c r="H60" i="4"/>
  <c r="M60" i="4"/>
  <c r="N60" i="4"/>
  <c r="R60" i="4"/>
  <c r="S60" i="4"/>
  <c r="W60" i="4"/>
  <c r="X60" i="4"/>
  <c r="C61" i="4"/>
  <c r="F61" i="4"/>
  <c r="H61" i="4"/>
  <c r="M61" i="4"/>
  <c r="N61" i="4"/>
  <c r="R61" i="4"/>
  <c r="S61" i="4"/>
  <c r="W61" i="4"/>
  <c r="X61" i="4"/>
  <c r="C62" i="4"/>
  <c r="F62" i="4"/>
  <c r="H62" i="4"/>
  <c r="M62" i="4"/>
  <c r="N62" i="4"/>
  <c r="R62" i="4"/>
  <c r="S62" i="4"/>
  <c r="W62" i="4"/>
  <c r="X62" i="4"/>
  <c r="C63" i="4"/>
  <c r="F63" i="4"/>
  <c r="H63" i="4"/>
  <c r="M63" i="4"/>
  <c r="N63" i="4"/>
  <c r="R63" i="4"/>
  <c r="S63" i="4"/>
  <c r="W63" i="4"/>
  <c r="X63" i="4"/>
  <c r="C64" i="4"/>
  <c r="F64" i="4"/>
  <c r="H64" i="4"/>
  <c r="M64" i="4"/>
  <c r="N64" i="4"/>
  <c r="R64" i="4"/>
  <c r="S64" i="4"/>
  <c r="W64" i="4"/>
  <c r="X64" i="4"/>
  <c r="C65" i="4"/>
  <c r="F65" i="4"/>
  <c r="H65" i="4"/>
  <c r="M65" i="4"/>
  <c r="N65" i="4"/>
  <c r="R65" i="4"/>
  <c r="S65" i="4"/>
  <c r="W65" i="4"/>
  <c r="X65" i="4"/>
  <c r="C66" i="4"/>
  <c r="F66" i="4"/>
  <c r="H66" i="4"/>
  <c r="M66" i="4"/>
  <c r="N66" i="4"/>
  <c r="R66" i="4"/>
  <c r="S66" i="4"/>
  <c r="W66" i="4"/>
  <c r="X66" i="4"/>
  <c r="C67" i="4"/>
  <c r="F67" i="4"/>
  <c r="H67" i="4"/>
  <c r="M67" i="4"/>
  <c r="N67" i="4"/>
  <c r="R67" i="4"/>
  <c r="S67" i="4"/>
  <c r="W67" i="4"/>
  <c r="X67" i="4"/>
  <c r="C68" i="4"/>
  <c r="F68" i="4"/>
  <c r="H68" i="4"/>
  <c r="M68" i="4"/>
  <c r="N68" i="4"/>
  <c r="R68" i="4"/>
  <c r="S68" i="4"/>
  <c r="W68" i="4"/>
  <c r="X68" i="4"/>
  <c r="C69" i="4"/>
  <c r="F69" i="4"/>
  <c r="H69" i="4"/>
  <c r="M69" i="4"/>
  <c r="N69" i="4"/>
  <c r="R69" i="4"/>
  <c r="S69" i="4"/>
  <c r="W69" i="4"/>
  <c r="X69" i="4"/>
  <c r="C70" i="4"/>
  <c r="F70" i="4"/>
  <c r="H70" i="4"/>
  <c r="M70" i="4"/>
  <c r="N70" i="4"/>
  <c r="R70" i="4"/>
  <c r="S70" i="4"/>
  <c r="W70" i="4"/>
  <c r="X70" i="4"/>
  <c r="C71" i="4"/>
  <c r="F71" i="4"/>
  <c r="H71" i="4"/>
  <c r="M71" i="4"/>
  <c r="N71" i="4"/>
  <c r="R71" i="4"/>
  <c r="S71" i="4"/>
  <c r="W71" i="4"/>
  <c r="X71" i="4"/>
  <c r="C72" i="4"/>
  <c r="F72" i="4"/>
  <c r="H72" i="4"/>
  <c r="M72" i="4"/>
  <c r="N72" i="4"/>
  <c r="R72" i="4"/>
  <c r="S72" i="4"/>
  <c r="W72" i="4"/>
  <c r="X72" i="4"/>
  <c r="C73" i="4"/>
  <c r="F73" i="4"/>
  <c r="H73" i="4"/>
  <c r="M73" i="4"/>
  <c r="N73" i="4"/>
  <c r="R73" i="4"/>
  <c r="S73" i="4"/>
  <c r="W73" i="4"/>
  <c r="X73" i="4"/>
  <c r="C74" i="4"/>
  <c r="F74" i="4"/>
  <c r="H74" i="4"/>
  <c r="M74" i="4"/>
  <c r="N74" i="4"/>
  <c r="R74" i="4"/>
  <c r="S74" i="4"/>
  <c r="W74" i="4"/>
  <c r="X74" i="4"/>
  <c r="C75" i="4"/>
  <c r="F75" i="4"/>
  <c r="H75" i="4"/>
  <c r="M75" i="4"/>
  <c r="N75" i="4"/>
  <c r="R75" i="4"/>
  <c r="S75" i="4"/>
  <c r="W75" i="4"/>
  <c r="X75" i="4"/>
  <c r="C76" i="4"/>
  <c r="F76" i="4"/>
  <c r="H76" i="4"/>
  <c r="M76" i="4"/>
  <c r="N76" i="4"/>
  <c r="R76" i="4"/>
  <c r="S76" i="4"/>
  <c r="W76" i="4"/>
  <c r="X76" i="4"/>
  <c r="C77" i="4"/>
  <c r="F77" i="4"/>
  <c r="H77" i="4"/>
  <c r="M77" i="4"/>
  <c r="N77" i="4"/>
  <c r="R77" i="4"/>
  <c r="S77" i="4"/>
  <c r="W77" i="4"/>
  <c r="X77" i="4"/>
  <c r="C78" i="4"/>
  <c r="F78" i="4"/>
  <c r="H78" i="4"/>
  <c r="M78" i="4"/>
  <c r="N78" i="4"/>
  <c r="R78" i="4"/>
  <c r="S78" i="4"/>
  <c r="W78" i="4"/>
  <c r="X78" i="4"/>
  <c r="C79" i="4"/>
  <c r="F79" i="4"/>
  <c r="H79" i="4"/>
  <c r="M79" i="4"/>
  <c r="N79" i="4"/>
  <c r="R79" i="4"/>
  <c r="S79" i="4"/>
  <c r="W79" i="4"/>
  <c r="X79" i="4"/>
  <c r="C80" i="4"/>
  <c r="F80" i="4"/>
  <c r="H80" i="4"/>
  <c r="M80" i="4"/>
  <c r="N80" i="4"/>
  <c r="R80" i="4"/>
  <c r="S80" i="4"/>
  <c r="W80" i="4"/>
  <c r="X80" i="4"/>
  <c r="C81" i="4"/>
  <c r="F81" i="4"/>
  <c r="H81" i="4"/>
  <c r="M81" i="4"/>
  <c r="N81" i="4"/>
  <c r="R81" i="4"/>
  <c r="S81" i="4"/>
  <c r="W81" i="4"/>
  <c r="X81" i="4"/>
  <c r="C82" i="4"/>
  <c r="F82" i="4"/>
  <c r="H82" i="4"/>
  <c r="M82" i="4"/>
  <c r="N82" i="4"/>
  <c r="R82" i="4"/>
  <c r="S82" i="4"/>
  <c r="W82" i="4"/>
  <c r="X82" i="4"/>
  <c r="C83" i="4"/>
  <c r="F83" i="4"/>
  <c r="H83" i="4"/>
  <c r="M83" i="4"/>
  <c r="N83" i="4"/>
  <c r="R83" i="4"/>
  <c r="S83" i="4"/>
  <c r="W83" i="4"/>
  <c r="X83" i="4"/>
  <c r="C84" i="4"/>
  <c r="F84" i="4"/>
  <c r="H84" i="4"/>
  <c r="M84" i="4"/>
  <c r="N84" i="4"/>
  <c r="R84" i="4"/>
  <c r="S84" i="4"/>
  <c r="W84" i="4"/>
  <c r="X84" i="4"/>
  <c r="C85" i="4"/>
  <c r="F85" i="4"/>
  <c r="H85" i="4"/>
  <c r="M85" i="4"/>
  <c r="N85" i="4"/>
  <c r="R85" i="4"/>
  <c r="S85" i="4"/>
  <c r="W85" i="4"/>
  <c r="X85" i="4"/>
  <c r="C86" i="4"/>
  <c r="F86" i="4"/>
  <c r="H86" i="4"/>
  <c r="M86" i="4"/>
  <c r="N86" i="4"/>
  <c r="R86" i="4"/>
  <c r="S86" i="4"/>
  <c r="W86" i="4"/>
  <c r="X86" i="4"/>
  <c r="C4" i="4"/>
  <c r="P30" i="4" l="1"/>
  <c r="I82" i="4"/>
  <c r="K82" i="4" s="1"/>
  <c r="E77" i="4"/>
  <c r="G47" i="4"/>
  <c r="E30" i="4"/>
  <c r="Z32" i="4"/>
  <c r="G37" i="4"/>
  <c r="I73" i="4"/>
  <c r="G21" i="4"/>
  <c r="I17" i="4"/>
  <c r="K17" i="4" s="1"/>
  <c r="I81" i="4"/>
  <c r="E21" i="4"/>
  <c r="S19" i="2"/>
  <c r="V19" i="2" s="1"/>
  <c r="Q63" i="2"/>
  <c r="S63" i="2" s="1"/>
  <c r="V63" i="2" s="1"/>
  <c r="E80" i="4"/>
  <c r="E58" i="4"/>
  <c r="Z9" i="4"/>
  <c r="Z84" i="4"/>
  <c r="Z71" i="4"/>
  <c r="P69" i="4"/>
  <c r="I57" i="4"/>
  <c r="E47" i="4"/>
  <c r="I13" i="4"/>
  <c r="K13" i="4" s="1"/>
  <c r="E12" i="4"/>
  <c r="P9" i="4"/>
  <c r="G75" i="4"/>
  <c r="E73" i="4"/>
  <c r="G71" i="4"/>
  <c r="E64" i="4"/>
  <c r="Z56" i="4"/>
  <c r="G54" i="4"/>
  <c r="P50" i="4"/>
  <c r="E49" i="4"/>
  <c r="Z36" i="4"/>
  <c r="E35" i="4"/>
  <c r="P29" i="4"/>
  <c r="I27" i="4"/>
  <c r="P18" i="4"/>
  <c r="Z13" i="4"/>
  <c r="E5" i="4"/>
  <c r="G72" i="4"/>
  <c r="E72" i="4"/>
  <c r="P66" i="4"/>
  <c r="E63" i="4"/>
  <c r="Z60" i="4"/>
  <c r="P59" i="4"/>
  <c r="I53" i="4"/>
  <c r="K53" i="4" s="1"/>
  <c r="I41" i="4"/>
  <c r="K41" i="4" s="1"/>
  <c r="E17" i="4"/>
  <c r="E10" i="4"/>
  <c r="U73" i="4"/>
  <c r="U72" i="4"/>
  <c r="Z83" i="4"/>
  <c r="P77" i="4"/>
  <c r="Z76" i="4"/>
  <c r="U53" i="4"/>
  <c r="U80" i="4"/>
  <c r="I77" i="4"/>
  <c r="U68" i="4"/>
  <c r="G79" i="4"/>
  <c r="E82" i="4"/>
  <c r="Z78" i="4"/>
  <c r="E75" i="4"/>
  <c r="G65" i="4"/>
  <c r="Z64" i="4"/>
  <c r="G64" i="4"/>
  <c r="P54" i="4"/>
  <c r="E54" i="4"/>
  <c r="E50" i="4"/>
  <c r="G49" i="4"/>
  <c r="P45" i="4"/>
  <c r="U41" i="4"/>
  <c r="I39" i="4"/>
  <c r="G35" i="4"/>
  <c r="G33" i="4"/>
  <c r="G31" i="4"/>
  <c r="I20" i="4"/>
  <c r="E7" i="4"/>
  <c r="G82" i="4"/>
  <c r="G84" i="4"/>
  <c r="E81" i="4"/>
  <c r="Z75" i="4"/>
  <c r="U65" i="4"/>
  <c r="Z57" i="4"/>
  <c r="Z52" i="4"/>
  <c r="I51" i="4"/>
  <c r="U49" i="4"/>
  <c r="U48" i="4"/>
  <c r="G48" i="4"/>
  <c r="G45" i="4"/>
  <c r="G40" i="4"/>
  <c r="I29" i="4"/>
  <c r="K29" i="4" s="1"/>
  <c r="Z20" i="4"/>
  <c r="P7" i="4"/>
  <c r="U85" i="4"/>
  <c r="E84" i="4"/>
  <c r="G80" i="4"/>
  <c r="I78" i="4"/>
  <c r="P74" i="4"/>
  <c r="G69" i="4"/>
  <c r="G68" i="4"/>
  <c r="G67" i="4"/>
  <c r="E65" i="4"/>
  <c r="Z63" i="4"/>
  <c r="G63" i="4"/>
  <c r="U61" i="4"/>
  <c r="E60" i="4"/>
  <c r="G52" i="4"/>
  <c r="G51" i="4"/>
  <c r="Z48" i="4"/>
  <c r="P46" i="4"/>
  <c r="E45" i="4"/>
  <c r="Z44" i="4"/>
  <c r="G44" i="4"/>
  <c r="Z40" i="4"/>
  <c r="I35" i="4"/>
  <c r="U33" i="4"/>
  <c r="G29" i="4"/>
  <c r="E28" i="4"/>
  <c r="E26" i="4"/>
  <c r="Z25" i="4"/>
  <c r="G25" i="4"/>
  <c r="E23" i="4"/>
  <c r="E20" i="4"/>
  <c r="E19" i="4"/>
  <c r="U13" i="4"/>
  <c r="P11" i="4"/>
  <c r="E71" i="4"/>
  <c r="Z69" i="4"/>
  <c r="E69" i="4"/>
  <c r="E68" i="4"/>
  <c r="Z61" i="4"/>
  <c r="E61" i="4"/>
  <c r="I55" i="4"/>
  <c r="E51" i="4"/>
  <c r="Z33" i="4"/>
  <c r="E29" i="4"/>
  <c r="E27" i="4"/>
  <c r="Z24" i="4"/>
  <c r="I24" i="4"/>
  <c r="I21" i="4"/>
  <c r="K21" i="4" s="1"/>
  <c r="E16" i="4"/>
  <c r="E15" i="4"/>
  <c r="E13" i="4"/>
  <c r="I12" i="4"/>
  <c r="I9" i="4"/>
  <c r="K9" i="4" s="1"/>
  <c r="Z8" i="4"/>
  <c r="E41" i="4"/>
  <c r="Z21" i="4"/>
  <c r="Z68" i="4"/>
  <c r="G61" i="4"/>
  <c r="I61" i="4"/>
  <c r="K61" i="4" s="1"/>
  <c r="G58" i="4"/>
  <c r="I58" i="4"/>
  <c r="Z49" i="4"/>
  <c r="I86" i="4"/>
  <c r="K86" i="4" s="1"/>
  <c r="E85" i="4"/>
  <c r="U76" i="4"/>
  <c r="U69" i="4"/>
  <c r="Z67" i="4"/>
  <c r="U64" i="4"/>
  <c r="U56" i="4"/>
  <c r="I23" i="4"/>
  <c r="G23" i="4"/>
  <c r="I19" i="4"/>
  <c r="G19" i="4"/>
  <c r="I83" i="4"/>
  <c r="P82" i="4"/>
  <c r="U81" i="4"/>
  <c r="G76" i="4"/>
  <c r="G73" i="4"/>
  <c r="G86" i="4"/>
  <c r="P85" i="4"/>
  <c r="U84" i="4"/>
  <c r="I84" i="4"/>
  <c r="G83" i="4"/>
  <c r="Z80" i="4"/>
  <c r="Z79" i="4"/>
  <c r="E79" i="4"/>
  <c r="G77" i="4"/>
  <c r="E76" i="4"/>
  <c r="P73" i="4"/>
  <c r="P70" i="4"/>
  <c r="I69" i="4"/>
  <c r="K69" i="4" s="1"/>
  <c r="Z65" i="4"/>
  <c r="P61" i="4"/>
  <c r="P58" i="4"/>
  <c r="G56" i="4"/>
  <c r="E31" i="4"/>
  <c r="I31" i="4"/>
  <c r="I15" i="4"/>
  <c r="G15" i="4"/>
  <c r="E86" i="4"/>
  <c r="I85" i="4"/>
  <c r="K85" i="4" s="1"/>
  <c r="E83" i="4"/>
  <c r="Z73" i="4"/>
  <c r="Z72" i="4"/>
  <c r="I65" i="4"/>
  <c r="Z59" i="4"/>
  <c r="E56" i="4"/>
  <c r="E53" i="4"/>
  <c r="K51" i="4"/>
  <c r="I49" i="4"/>
  <c r="I43" i="4"/>
  <c r="G43" i="4"/>
  <c r="Z41" i="4"/>
  <c r="E37" i="4"/>
  <c r="I37" i="4"/>
  <c r="E33" i="4"/>
  <c r="I33" i="4"/>
  <c r="K33" i="4" s="1"/>
  <c r="Z31" i="4"/>
  <c r="Z28" i="4"/>
  <c r="E25" i="4"/>
  <c r="I25" i="4"/>
  <c r="K25" i="4" s="1"/>
  <c r="Z16" i="4"/>
  <c r="P49" i="4"/>
  <c r="Z43" i="4"/>
  <c r="G41" i="4"/>
  <c r="P35" i="4"/>
  <c r="U29" i="4"/>
  <c r="P23" i="4"/>
  <c r="P22" i="4"/>
  <c r="P19" i="4"/>
  <c r="G17" i="4"/>
  <c r="G13" i="4"/>
  <c r="E9" i="4"/>
  <c r="E67" i="4"/>
  <c r="E66" i="4"/>
  <c r="P65" i="4"/>
  <c r="P62" i="4"/>
  <c r="U60" i="4"/>
  <c r="G60" i="4"/>
  <c r="E59" i="4"/>
  <c r="U57" i="4"/>
  <c r="I54" i="4"/>
  <c r="K54" i="4" s="1"/>
  <c r="Z47" i="4"/>
  <c r="I47" i="4"/>
  <c r="E46" i="4"/>
  <c r="Z45" i="4"/>
  <c r="U45" i="4"/>
  <c r="I45" i="4"/>
  <c r="U44" i="4"/>
  <c r="E43" i="4"/>
  <c r="P41" i="4"/>
  <c r="Z39" i="4"/>
  <c r="G39" i="4"/>
  <c r="P38" i="4"/>
  <c r="P37" i="4"/>
  <c r="P34" i="4"/>
  <c r="P31" i="4"/>
  <c r="Z29" i="4"/>
  <c r="P27" i="4"/>
  <c r="G27" i="4"/>
  <c r="P21" i="4"/>
  <c r="P17" i="4"/>
  <c r="P15" i="4"/>
  <c r="U9" i="4"/>
  <c r="I7" i="4"/>
  <c r="K7" i="4" s="1"/>
  <c r="Z5" i="4"/>
  <c r="U5" i="4"/>
  <c r="I5" i="4"/>
  <c r="K5" i="4" s="1"/>
  <c r="E39" i="4"/>
  <c r="E36" i="4"/>
  <c r="Z35" i="4"/>
  <c r="P33" i="4"/>
  <c r="E32" i="4"/>
  <c r="I28" i="4"/>
  <c r="K28" i="4" s="1"/>
  <c r="P25" i="4"/>
  <c r="E24" i="4"/>
  <c r="E22" i="4"/>
  <c r="U21" i="4"/>
  <c r="Z17" i="4"/>
  <c r="U17" i="4"/>
  <c r="Z12" i="4"/>
  <c r="I11" i="4"/>
  <c r="P10" i="4"/>
  <c r="G9" i="4"/>
  <c r="E8" i="4"/>
  <c r="G7" i="4"/>
  <c r="P14" i="4"/>
  <c r="P86" i="4"/>
  <c r="P81" i="4"/>
  <c r="P42" i="4"/>
  <c r="P36" i="4"/>
  <c r="P56" i="4"/>
  <c r="P39" i="4"/>
  <c r="P67" i="4"/>
  <c r="P79" i="4"/>
  <c r="P75" i="4"/>
  <c r="P71" i="4"/>
  <c r="P63" i="4"/>
  <c r="P26" i="4"/>
  <c r="P6" i="4"/>
  <c r="P53" i="4"/>
  <c r="P51" i="4"/>
  <c r="P47" i="4"/>
  <c r="P43" i="4"/>
  <c r="U59" i="4"/>
  <c r="U32" i="4"/>
  <c r="U46" i="4"/>
  <c r="U52" i="4"/>
  <c r="U25" i="4"/>
  <c r="U24" i="4"/>
  <c r="U34" i="4"/>
  <c r="U16" i="4"/>
  <c r="U10" i="4"/>
  <c r="U8" i="4"/>
  <c r="U66" i="4"/>
  <c r="U62" i="4"/>
  <c r="U50" i="4"/>
  <c r="U42" i="4"/>
  <c r="U26" i="4"/>
  <c r="U38" i="4"/>
  <c r="U14" i="4"/>
  <c r="U74" i="4"/>
  <c r="U70" i="4"/>
  <c r="U54" i="4"/>
  <c r="U30" i="4"/>
  <c r="U28" i="4"/>
  <c r="U22" i="4"/>
  <c r="U20" i="4"/>
  <c r="U18" i="4"/>
  <c r="U6" i="4"/>
  <c r="I70" i="4"/>
  <c r="G70" i="4"/>
  <c r="Z66" i="4"/>
  <c r="P64" i="4"/>
  <c r="K57" i="4"/>
  <c r="G85" i="4"/>
  <c r="P84" i="4"/>
  <c r="U83" i="4"/>
  <c r="Z82" i="4"/>
  <c r="G81" i="4"/>
  <c r="P80" i="4"/>
  <c r="I79" i="4"/>
  <c r="P78" i="4"/>
  <c r="G78" i="4"/>
  <c r="I74" i="4"/>
  <c r="G74" i="4"/>
  <c r="Z70" i="4"/>
  <c r="E70" i="4"/>
  <c r="P68" i="4"/>
  <c r="U63" i="4"/>
  <c r="I59" i="4"/>
  <c r="G59" i="4"/>
  <c r="U58" i="4"/>
  <c r="Z54" i="4"/>
  <c r="E42" i="4"/>
  <c r="U75" i="4"/>
  <c r="Z53" i="4"/>
  <c r="Z51" i="4"/>
  <c r="Z50" i="4"/>
  <c r="U37" i="4"/>
  <c r="U27" i="4"/>
  <c r="Z26" i="4"/>
  <c r="U19" i="4"/>
  <c r="P5" i="4"/>
  <c r="Z86" i="4"/>
  <c r="U86" i="4"/>
  <c r="Z85" i="4"/>
  <c r="P83" i="4"/>
  <c r="U82" i="4"/>
  <c r="Z81" i="4"/>
  <c r="U78" i="4"/>
  <c r="E78" i="4"/>
  <c r="U77" i="4"/>
  <c r="Z74" i="4"/>
  <c r="E74" i="4"/>
  <c r="P72" i="4"/>
  <c r="U67" i="4"/>
  <c r="I62" i="4"/>
  <c r="G62" i="4"/>
  <c r="P57" i="4"/>
  <c r="P55" i="4"/>
  <c r="E40" i="4"/>
  <c r="I40" i="4"/>
  <c r="I80" i="4"/>
  <c r="U79" i="4"/>
  <c r="Z77" i="4"/>
  <c r="P76" i="4"/>
  <c r="U71" i="4"/>
  <c r="I66" i="4"/>
  <c r="G66" i="4"/>
  <c r="Z62" i="4"/>
  <c r="E62" i="4"/>
  <c r="P60" i="4"/>
  <c r="E57" i="4"/>
  <c r="I50" i="4"/>
  <c r="G50" i="4"/>
  <c r="P48" i="4"/>
  <c r="U43" i="4"/>
  <c r="U40" i="4"/>
  <c r="I76" i="4"/>
  <c r="I72" i="4"/>
  <c r="I68" i="4"/>
  <c r="I64" i="4"/>
  <c r="I60" i="4"/>
  <c r="G57" i="4"/>
  <c r="P52" i="4"/>
  <c r="U47" i="4"/>
  <c r="E44" i="4"/>
  <c r="I44" i="4"/>
  <c r="Z38" i="4"/>
  <c r="I38" i="4"/>
  <c r="G38" i="4"/>
  <c r="P28" i="4"/>
  <c r="P20" i="4"/>
  <c r="I75" i="4"/>
  <c r="I71" i="4"/>
  <c r="I67" i="4"/>
  <c r="I63" i="4"/>
  <c r="I56" i="4"/>
  <c r="Z55" i="4"/>
  <c r="G55" i="4"/>
  <c r="G53" i="4"/>
  <c r="U51" i="4"/>
  <c r="E48" i="4"/>
  <c r="I48" i="4"/>
  <c r="Z42" i="4"/>
  <c r="I42" i="4"/>
  <c r="G42" i="4"/>
  <c r="P40" i="4"/>
  <c r="U31" i="4"/>
  <c r="Z30" i="4"/>
  <c r="U23" i="4"/>
  <c r="Z22" i="4"/>
  <c r="P13" i="4"/>
  <c r="Z10" i="4"/>
  <c r="Z58" i="4"/>
  <c r="U55" i="4"/>
  <c r="E55" i="4"/>
  <c r="E52" i="4"/>
  <c r="I52" i="4"/>
  <c r="Z46" i="4"/>
  <c r="I46" i="4"/>
  <c r="G46" i="4"/>
  <c r="P44" i="4"/>
  <c r="U39" i="4"/>
  <c r="P24" i="4"/>
  <c r="G14" i="4"/>
  <c r="I14" i="4"/>
  <c r="P12" i="4"/>
  <c r="U11" i="4"/>
  <c r="G6" i="4"/>
  <c r="I6" i="4"/>
  <c r="E38" i="4"/>
  <c r="U36" i="4"/>
  <c r="I36" i="4"/>
  <c r="G34" i="4"/>
  <c r="I34" i="4"/>
  <c r="G18" i="4"/>
  <c r="I18" i="4"/>
  <c r="Z14" i="4"/>
  <c r="E14" i="4"/>
  <c r="U12" i="4"/>
  <c r="Z6" i="4"/>
  <c r="E6" i="4"/>
  <c r="Z37" i="4"/>
  <c r="U35" i="4"/>
  <c r="Z34" i="4"/>
  <c r="E34" i="4"/>
  <c r="P32" i="4"/>
  <c r="I32" i="4"/>
  <c r="G30" i="4"/>
  <c r="I30" i="4"/>
  <c r="G26" i="4"/>
  <c r="I26" i="4"/>
  <c r="G22" i="4"/>
  <c r="I22" i="4"/>
  <c r="Z18" i="4"/>
  <c r="E18" i="4"/>
  <c r="P16" i="4"/>
  <c r="I16" i="4"/>
  <c r="U15" i="4"/>
  <c r="G10" i="4"/>
  <c r="I10" i="4"/>
  <c r="P8" i="4"/>
  <c r="I8" i="4"/>
  <c r="U7" i="4"/>
  <c r="G36" i="4"/>
  <c r="G32" i="4"/>
  <c r="G28" i="4"/>
  <c r="G24" i="4"/>
  <c r="G20" i="4"/>
  <c r="G16" i="4"/>
  <c r="G12" i="4"/>
  <c r="G8" i="4"/>
  <c r="Z27" i="4"/>
  <c r="Z23" i="4"/>
  <c r="Z19" i="4"/>
  <c r="Z15" i="4"/>
  <c r="Z11" i="4"/>
  <c r="Z7" i="4"/>
  <c r="K73" i="4" l="1"/>
  <c r="K77" i="4"/>
  <c r="K81" i="4"/>
  <c r="K78" i="4"/>
  <c r="K45" i="4"/>
  <c r="K55" i="4"/>
  <c r="K49" i="4"/>
  <c r="K15" i="4"/>
  <c r="K24" i="4"/>
  <c r="K20" i="4"/>
  <c r="K65" i="4"/>
  <c r="K39" i="4"/>
  <c r="K27" i="4"/>
  <c r="K12" i="4"/>
  <c r="K83" i="4"/>
  <c r="K35" i="4"/>
  <c r="K19" i="4"/>
  <c r="K43" i="4"/>
  <c r="K31" i="4"/>
  <c r="K58" i="4"/>
  <c r="K84" i="4"/>
  <c r="K11" i="4"/>
  <c r="K47" i="4"/>
  <c r="K37" i="4"/>
  <c r="K23" i="4"/>
  <c r="K18" i="4"/>
  <c r="K75" i="4"/>
  <c r="K74" i="4"/>
  <c r="K36" i="4"/>
  <c r="K42" i="4"/>
  <c r="K48" i="4"/>
  <c r="K63" i="4"/>
  <c r="K44" i="4"/>
  <c r="K72" i="4"/>
  <c r="K80" i="4"/>
  <c r="K70" i="4"/>
  <c r="K22" i="4"/>
  <c r="K6" i="4"/>
  <c r="K10" i="4"/>
  <c r="K16" i="4"/>
  <c r="K26" i="4"/>
  <c r="K32" i="4"/>
  <c r="K14" i="4"/>
  <c r="K46" i="4"/>
  <c r="K52" i="4"/>
  <c r="K67" i="4"/>
  <c r="K38" i="4"/>
  <c r="K60" i="4"/>
  <c r="K76" i="4"/>
  <c r="K50" i="4"/>
  <c r="K62" i="4"/>
  <c r="K59" i="4"/>
  <c r="K30" i="4"/>
  <c r="K56" i="4"/>
  <c r="K68" i="4"/>
  <c r="K40" i="4"/>
  <c r="K8" i="4"/>
  <c r="K34" i="4"/>
  <c r="K71" i="4"/>
  <c r="K64" i="4"/>
  <c r="K66" i="4"/>
  <c r="K79" i="4"/>
  <c r="H4" i="4" l="1"/>
  <c r="D4" i="4"/>
  <c r="G4" i="4" l="1"/>
  <c r="F4" i="4"/>
  <c r="E4" i="4" s="1"/>
  <c r="X4" i="4"/>
  <c r="W4" i="4"/>
  <c r="S4" i="4"/>
  <c r="R4" i="4"/>
  <c r="Q3" i="4"/>
  <c r="O3" i="4"/>
  <c r="N4" i="4"/>
  <c r="M4" i="4"/>
  <c r="N95" i="4"/>
  <c r="N94" i="4"/>
  <c r="N93" i="4"/>
  <c r="N92" i="4"/>
  <c r="N91" i="4"/>
  <c r="N90" i="4"/>
  <c r="N89" i="4"/>
  <c r="N88" i="4"/>
  <c r="N87" i="4"/>
  <c r="S95" i="4"/>
  <c r="S94" i="4"/>
  <c r="S93" i="4"/>
  <c r="S92" i="4"/>
  <c r="S91" i="4"/>
  <c r="S90" i="4"/>
  <c r="S89" i="4"/>
  <c r="S88" i="4"/>
  <c r="S87" i="4"/>
  <c r="O59" i="4" l="1"/>
  <c r="O71" i="4"/>
  <c r="O51" i="4"/>
  <c r="O47" i="4"/>
  <c r="O62" i="4"/>
  <c r="O54" i="4"/>
  <c r="O42" i="4"/>
  <c r="O22" i="4"/>
  <c r="O85" i="4"/>
  <c r="O61" i="4"/>
  <c r="O53" i="4"/>
  <c r="O41" i="4"/>
  <c r="O6" i="4"/>
  <c r="O31" i="4"/>
  <c r="O66" i="4"/>
  <c r="O73" i="4"/>
  <c r="O27" i="4"/>
  <c r="O23" i="4"/>
  <c r="O19" i="4"/>
  <c r="O15" i="4"/>
  <c r="O11" i="4"/>
  <c r="O63" i="4"/>
  <c r="O78" i="4"/>
  <c r="O18" i="4"/>
  <c r="O81" i="4"/>
  <c r="O45" i="4"/>
  <c r="O29" i="4"/>
  <c r="O25" i="4"/>
  <c r="O13" i="4"/>
  <c r="O43" i="4"/>
  <c r="O86" i="4"/>
  <c r="O50" i="4"/>
  <c r="O34" i="4"/>
  <c r="O26" i="4"/>
  <c r="O7" i="4"/>
  <c r="O84" i="4"/>
  <c r="O80" i="4"/>
  <c r="O56" i="4"/>
  <c r="O36" i="4"/>
  <c r="O9" i="4"/>
  <c r="O5" i="4"/>
  <c r="O39" i="4"/>
  <c r="O68" i="4"/>
  <c r="O72" i="4"/>
  <c r="O48" i="4"/>
  <c r="O44" i="4"/>
  <c r="O83" i="4"/>
  <c r="O75" i="4"/>
  <c r="O67" i="4"/>
  <c r="O38" i="4"/>
  <c r="O14" i="4"/>
  <c r="O69" i="4"/>
  <c r="O49" i="4"/>
  <c r="O33" i="4"/>
  <c r="O17" i="4"/>
  <c r="O10" i="4"/>
  <c r="O35" i="4"/>
  <c r="O82" i="4"/>
  <c r="O74" i="4"/>
  <c r="O58" i="4"/>
  <c r="O65" i="4"/>
  <c r="O57" i="4"/>
  <c r="O79" i="4"/>
  <c r="O28" i="4"/>
  <c r="O8" i="4"/>
  <c r="O16" i="4"/>
  <c r="O37" i="4"/>
  <c r="O20" i="4"/>
  <c r="O40" i="4"/>
  <c r="O24" i="4"/>
  <c r="O46" i="4"/>
  <c r="O64" i="4"/>
  <c r="O60" i="4"/>
  <c r="O77" i="4"/>
  <c r="O21" i="4"/>
  <c r="O30" i="4"/>
  <c r="O76" i="4"/>
  <c r="O70" i="4"/>
  <c r="O55" i="4"/>
  <c r="O52" i="4"/>
  <c r="O12" i="4"/>
  <c r="O32" i="4"/>
  <c r="Q84" i="4"/>
  <c r="Q80" i="4"/>
  <c r="Q32" i="4"/>
  <c r="Q79" i="4"/>
  <c r="Q14" i="4"/>
  <c r="Q51" i="4"/>
  <c r="Q8" i="4"/>
  <c r="Q76" i="4"/>
  <c r="Q68" i="4"/>
  <c r="Q44" i="4"/>
  <c r="Q39" i="4"/>
  <c r="Q75" i="4"/>
  <c r="Q63" i="4"/>
  <c r="Q85" i="4"/>
  <c r="Q50" i="4"/>
  <c r="Q21" i="4"/>
  <c r="Q15" i="4"/>
  <c r="Q77" i="4"/>
  <c r="Q9" i="4"/>
  <c r="Q65" i="4"/>
  <c r="Q31" i="4"/>
  <c r="Q13" i="4"/>
  <c r="Q64" i="4"/>
  <c r="Q56" i="4"/>
  <c r="Q72" i="4"/>
  <c r="Q60" i="4"/>
  <c r="Q52" i="4"/>
  <c r="Q48" i="4"/>
  <c r="Q36" i="4"/>
  <c r="Q83" i="4"/>
  <c r="Q71" i="4"/>
  <c r="Q86" i="4"/>
  <c r="Q78" i="4"/>
  <c r="Q47" i="4"/>
  <c r="Q28" i="4"/>
  <c r="Q24" i="4"/>
  <c r="Q20" i="4"/>
  <c r="Q16" i="4"/>
  <c r="Q12" i="4"/>
  <c r="Q19" i="4"/>
  <c r="Q54" i="4"/>
  <c r="Q10" i="4"/>
  <c r="Q46" i="4"/>
  <c r="Q37" i="4"/>
  <c r="Q11" i="4"/>
  <c r="Q22" i="4"/>
  <c r="Q61" i="4"/>
  <c r="Q74" i="4"/>
  <c r="Q62" i="4"/>
  <c r="Q17" i="4"/>
  <c r="Q67" i="4"/>
  <c r="Q55" i="4"/>
  <c r="Q34" i="4"/>
  <c r="Q27" i="4"/>
  <c r="Q66" i="4"/>
  <c r="Q7" i="4"/>
  <c r="Q45" i="4"/>
  <c r="Q70" i="4"/>
  <c r="Q33" i="4"/>
  <c r="Q38" i="4"/>
  <c r="Q49" i="4"/>
  <c r="Q53" i="4"/>
  <c r="Q82" i="4"/>
  <c r="Q25" i="4"/>
  <c r="Q73" i="4"/>
  <c r="Q26" i="4"/>
  <c r="Q6" i="4"/>
  <c r="Q23" i="4"/>
  <c r="Q29" i="4"/>
  <c r="Q58" i="4"/>
  <c r="Q35" i="4"/>
  <c r="Q69" i="4"/>
  <c r="Q43" i="4"/>
  <c r="Q42" i="4"/>
  <c r="Q57" i="4"/>
  <c r="Q40" i="4"/>
  <c r="Q30" i="4"/>
  <c r="Q5" i="4"/>
  <c r="Q81" i="4"/>
  <c r="Q59" i="4"/>
  <c r="Q18" i="4"/>
  <c r="Q41" i="4"/>
  <c r="Q4" i="4"/>
  <c r="O4" i="4"/>
  <c r="U4" i="4"/>
  <c r="P4" i="4"/>
  <c r="N98" i="4"/>
  <c r="S98" i="4"/>
  <c r="I4" i="4" l="1"/>
  <c r="K4" i="4" s="1"/>
  <c r="L63" i="3" l="1"/>
  <c r="L62" i="3"/>
  <c r="L61" i="3"/>
  <c r="I95" i="4"/>
  <c r="I94" i="4"/>
  <c r="I93" i="4"/>
  <c r="I92" i="4"/>
  <c r="I91" i="4"/>
  <c r="X90" i="4"/>
  <c r="I90" i="4"/>
  <c r="I89" i="4"/>
  <c r="I88" i="4"/>
  <c r="I87" i="4"/>
  <c r="Z4" i="4"/>
  <c r="D37" i="1"/>
  <c r="E33" i="1" s="1"/>
  <c r="E35" i="1" s="1"/>
  <c r="K36" i="1"/>
  <c r="I36" i="1"/>
  <c r="D36" i="1"/>
  <c r="K35" i="1"/>
  <c r="K37" i="1" s="1"/>
  <c r="I35" i="1"/>
  <c r="I37" i="1" s="1"/>
  <c r="B35" i="1"/>
  <c r="C33" i="1"/>
  <c r="C37" i="1" s="1"/>
  <c r="H31" i="1"/>
  <c r="F31" i="1"/>
  <c r="D31" i="1"/>
  <c r="B31" i="1"/>
  <c r="H30" i="1"/>
  <c r="F30" i="1"/>
  <c r="D30" i="1"/>
  <c r="B30" i="1"/>
  <c r="J28" i="1"/>
  <c r="H28" i="1"/>
  <c r="F28" i="1"/>
  <c r="H25" i="1"/>
  <c r="D25" i="1"/>
  <c r="D28" i="1" s="1"/>
  <c r="B25" i="1"/>
  <c r="D23" i="1"/>
  <c r="B23" i="1"/>
  <c r="H22" i="1"/>
  <c r="H20" i="1"/>
  <c r="H19" i="1"/>
  <c r="H23" i="1" s="1"/>
  <c r="F19" i="1"/>
  <c r="H18" i="1"/>
  <c r="F18" i="1"/>
  <c r="H14" i="1"/>
  <c r="J3" i="4" s="1"/>
  <c r="D14" i="1"/>
  <c r="T3" i="4" s="1"/>
  <c r="F10" i="1"/>
  <c r="F9" i="1"/>
  <c r="B8" i="1"/>
  <c r="B14" i="1" s="1"/>
  <c r="T59" i="4" l="1"/>
  <c r="T76" i="4"/>
  <c r="T36" i="4"/>
  <c r="T86" i="4"/>
  <c r="T78" i="4"/>
  <c r="T70" i="4"/>
  <c r="T62" i="4"/>
  <c r="T60" i="4"/>
  <c r="T24" i="4"/>
  <c r="T81" i="4"/>
  <c r="T73" i="4"/>
  <c r="T65" i="4"/>
  <c r="T57" i="4"/>
  <c r="T49" i="4"/>
  <c r="T41" i="4"/>
  <c r="T6" i="4"/>
  <c r="T67" i="4"/>
  <c r="T51" i="4"/>
  <c r="T39" i="4"/>
  <c r="T7" i="4"/>
  <c r="T71" i="4"/>
  <c r="T35" i="4"/>
  <c r="T15" i="4"/>
  <c r="T30" i="4"/>
  <c r="T72" i="4"/>
  <c r="T33" i="4"/>
  <c r="T17" i="4"/>
  <c r="T75" i="4"/>
  <c r="T43" i="4"/>
  <c r="T31" i="4"/>
  <c r="T64" i="4"/>
  <c r="T9" i="4"/>
  <c r="T55" i="4"/>
  <c r="T68" i="4"/>
  <c r="T32" i="4"/>
  <c r="T50" i="4"/>
  <c r="T42" i="4"/>
  <c r="T34" i="4"/>
  <c r="T26" i="4"/>
  <c r="T18" i="4"/>
  <c r="T48" i="4"/>
  <c r="T20" i="4"/>
  <c r="T29" i="4"/>
  <c r="T21" i="4"/>
  <c r="T13" i="4"/>
  <c r="T11" i="4"/>
  <c r="T52" i="4"/>
  <c r="T83" i="4"/>
  <c r="T8" i="4"/>
  <c r="T56" i="4"/>
  <c r="T16" i="4"/>
  <c r="T82" i="4"/>
  <c r="T74" i="4"/>
  <c r="T66" i="4"/>
  <c r="T84" i="4"/>
  <c r="T44" i="4"/>
  <c r="T12" i="4"/>
  <c r="T85" i="4"/>
  <c r="T77" i="4"/>
  <c r="T69" i="4"/>
  <c r="T61" i="4"/>
  <c r="T53" i="4"/>
  <c r="T45" i="4"/>
  <c r="T10" i="4"/>
  <c r="T63" i="4"/>
  <c r="T58" i="4"/>
  <c r="T27" i="4"/>
  <c r="T19" i="4"/>
  <c r="T28" i="4"/>
  <c r="T79" i="4"/>
  <c r="T80" i="4"/>
  <c r="T40" i="4"/>
  <c r="T5" i="4"/>
  <c r="T54" i="4"/>
  <c r="T46" i="4"/>
  <c r="T38" i="4"/>
  <c r="T22" i="4"/>
  <c r="T14" i="4"/>
  <c r="T25" i="4"/>
  <c r="T37" i="4"/>
  <c r="T47" i="4"/>
  <c r="T23" i="4"/>
  <c r="T4" i="4"/>
  <c r="J53" i="4"/>
  <c r="J82" i="4"/>
  <c r="J7" i="4"/>
  <c r="J17" i="4"/>
  <c r="J5" i="4"/>
  <c r="J54" i="4"/>
  <c r="J69" i="4"/>
  <c r="J25" i="4"/>
  <c r="J9" i="4"/>
  <c r="J33" i="4"/>
  <c r="J49" i="4"/>
  <c r="J81" i="4"/>
  <c r="J24" i="4"/>
  <c r="J39" i="4"/>
  <c r="J77" i="4"/>
  <c r="J13" i="4"/>
  <c r="J47" i="4"/>
  <c r="J23" i="4"/>
  <c r="J75" i="4"/>
  <c r="J22" i="4"/>
  <c r="J10" i="4"/>
  <c r="J26" i="4"/>
  <c r="J14" i="4"/>
  <c r="J38" i="4"/>
  <c r="J62" i="4"/>
  <c r="J30" i="4"/>
  <c r="J71" i="4"/>
  <c r="J66" i="4"/>
  <c r="J37" i="4"/>
  <c r="J18" i="4"/>
  <c r="J42" i="4"/>
  <c r="J63" i="4"/>
  <c r="J6" i="4"/>
  <c r="J67" i="4"/>
  <c r="J59" i="4"/>
  <c r="J34" i="4"/>
  <c r="J86" i="4"/>
  <c r="J32" i="4"/>
  <c r="J79" i="4"/>
  <c r="J55" i="4"/>
  <c r="J45" i="4"/>
  <c r="J35" i="4"/>
  <c r="J57" i="4"/>
  <c r="J43" i="4"/>
  <c r="J41" i="4"/>
  <c r="J12" i="4"/>
  <c r="J28" i="4"/>
  <c r="J31" i="4"/>
  <c r="J36" i="4"/>
  <c r="J48" i="4"/>
  <c r="J44" i="4"/>
  <c r="J80" i="4"/>
  <c r="J52" i="4"/>
  <c r="J76" i="4"/>
  <c r="J68" i="4"/>
  <c r="J8" i="4"/>
  <c r="J78" i="4"/>
  <c r="J84" i="4"/>
  <c r="J29" i="4"/>
  <c r="J83" i="4"/>
  <c r="J65" i="4"/>
  <c r="J61" i="4"/>
  <c r="J27" i="4"/>
  <c r="J21" i="4"/>
  <c r="J19" i="4"/>
  <c r="J11" i="4"/>
  <c r="J74" i="4"/>
  <c r="J70" i="4"/>
  <c r="J46" i="4"/>
  <c r="J50" i="4"/>
  <c r="J56" i="4"/>
  <c r="J51" i="4"/>
  <c r="J20" i="4"/>
  <c r="J73" i="4"/>
  <c r="J15" i="4"/>
  <c r="J85" i="4"/>
  <c r="J58" i="4"/>
  <c r="J72" i="4"/>
  <c r="J16" i="4"/>
  <c r="J60" i="4"/>
  <c r="J40" i="4"/>
  <c r="J64" i="4"/>
  <c r="F23" i="1"/>
  <c r="F16" i="1" s="1"/>
  <c r="C35" i="1"/>
  <c r="F14" i="1"/>
  <c r="D16" i="1"/>
  <c r="J4" i="4"/>
  <c r="X92" i="4"/>
  <c r="X95" i="4"/>
  <c r="I98" i="4"/>
  <c r="J23" i="1"/>
  <c r="E37" i="1"/>
  <c r="Y3" i="4"/>
  <c r="G3" i="1"/>
  <c r="AA3" i="4" s="1"/>
  <c r="P5" i="2"/>
  <c r="E36" i="1"/>
  <c r="B28" i="1"/>
  <c r="B16" i="1" s="1"/>
  <c r="C3" i="1"/>
  <c r="C25" i="1" s="1"/>
  <c r="H16" i="1"/>
  <c r="X87" i="4"/>
  <c r="X91" i="4"/>
  <c r="E3" i="1"/>
  <c r="C36" i="1"/>
  <c r="X88" i="4"/>
  <c r="X89" i="4"/>
  <c r="X94" i="4"/>
  <c r="X93" i="4"/>
  <c r="Y63" i="4" l="1"/>
  <c r="Y55" i="4"/>
  <c r="Y45" i="4"/>
  <c r="Y29" i="4"/>
  <c r="Y25" i="4"/>
  <c r="Y78" i="4"/>
  <c r="Y81" i="4"/>
  <c r="Y84" i="4"/>
  <c r="Y80" i="4"/>
  <c r="Y64" i="4"/>
  <c r="Y56" i="4"/>
  <c r="Y52" i="4"/>
  <c r="Y44" i="4"/>
  <c r="Y36" i="4"/>
  <c r="Y12" i="4"/>
  <c r="Y5" i="4"/>
  <c r="Y39" i="4"/>
  <c r="Y83" i="4"/>
  <c r="Y75" i="4"/>
  <c r="Y67" i="4"/>
  <c r="Y43" i="4"/>
  <c r="Y86" i="4"/>
  <c r="Y7" i="4"/>
  <c r="Y69" i="4"/>
  <c r="Y33" i="4"/>
  <c r="Y17" i="4"/>
  <c r="Y77" i="4"/>
  <c r="Y72" i="4"/>
  <c r="Y28" i="4"/>
  <c r="Y20" i="4"/>
  <c r="Y61" i="4"/>
  <c r="Y16" i="4"/>
  <c r="Y66" i="4"/>
  <c r="Y70" i="4"/>
  <c r="Y54" i="4"/>
  <c r="Y26" i="4"/>
  <c r="Y62" i="4"/>
  <c r="Y46" i="4"/>
  <c r="Y34" i="4"/>
  <c r="Y18" i="4"/>
  <c r="Y71" i="4"/>
  <c r="Y58" i="4"/>
  <c r="Y57" i="4"/>
  <c r="Y37" i="4"/>
  <c r="Y60" i="4"/>
  <c r="Y48" i="4"/>
  <c r="Y40" i="4"/>
  <c r="Y8" i="4"/>
  <c r="Y21" i="4"/>
  <c r="Y49" i="4"/>
  <c r="Y65" i="4"/>
  <c r="Y41" i="4"/>
  <c r="Y13" i="4"/>
  <c r="Y74" i="4"/>
  <c r="Y79" i="4"/>
  <c r="Y59" i="4"/>
  <c r="Y51" i="4"/>
  <c r="Y76" i="4"/>
  <c r="Y23" i="4"/>
  <c r="Y38" i="4"/>
  <c r="Y14" i="4"/>
  <c r="Y6" i="4"/>
  <c r="Y31" i="4"/>
  <c r="Y82" i="4"/>
  <c r="Y27" i="4"/>
  <c r="Y50" i="4"/>
  <c r="Y47" i="4"/>
  <c r="Y85" i="4"/>
  <c r="Y73" i="4"/>
  <c r="Y19" i="4"/>
  <c r="Y68" i="4"/>
  <c r="Y10" i="4"/>
  <c r="Y35" i="4"/>
  <c r="Y32" i="4"/>
  <c r="Y15" i="4"/>
  <c r="Y22" i="4"/>
  <c r="Y24" i="4"/>
  <c r="Y11" i="4"/>
  <c r="Y9" i="4"/>
  <c r="Y53" i="4"/>
  <c r="Y42" i="4"/>
  <c r="Y30" i="4"/>
  <c r="AA10" i="4"/>
  <c r="AA76" i="4"/>
  <c r="AA68" i="4"/>
  <c r="AA8" i="4"/>
  <c r="AA70" i="4"/>
  <c r="AA34" i="4"/>
  <c r="AA18" i="4"/>
  <c r="AA35" i="4"/>
  <c r="AA27" i="4"/>
  <c r="AA73" i="4"/>
  <c r="AA29" i="4"/>
  <c r="AA21" i="4"/>
  <c r="AA84" i="4"/>
  <c r="AA52" i="4"/>
  <c r="AA48" i="4"/>
  <c r="AA59" i="4"/>
  <c r="AA47" i="4"/>
  <c r="AA58" i="4"/>
  <c r="AA50" i="4"/>
  <c r="AA38" i="4"/>
  <c r="AA66" i="4"/>
  <c r="AA61" i="4"/>
  <c r="AA49" i="4"/>
  <c r="AA41" i="4"/>
  <c r="AA24" i="4"/>
  <c r="AA20" i="4"/>
  <c r="AA16" i="4"/>
  <c r="AA12" i="4"/>
  <c r="AA9" i="4"/>
  <c r="AA63" i="4"/>
  <c r="AA80" i="4"/>
  <c r="AA64" i="4"/>
  <c r="AA56" i="4"/>
  <c r="AA43" i="4"/>
  <c r="AA42" i="4"/>
  <c r="AA26" i="4"/>
  <c r="AA22" i="4"/>
  <c r="AA31" i="4"/>
  <c r="AA19" i="4"/>
  <c r="AA86" i="4"/>
  <c r="AA74" i="4"/>
  <c r="AA81" i="4"/>
  <c r="AA77" i="4"/>
  <c r="AA69" i="4"/>
  <c r="AA53" i="4"/>
  <c r="AA33" i="4"/>
  <c r="AA25" i="4"/>
  <c r="AA17" i="4"/>
  <c r="AA6" i="4"/>
  <c r="AA40" i="4"/>
  <c r="AA36" i="4"/>
  <c r="AA60" i="4"/>
  <c r="AA75" i="4"/>
  <c r="AA44" i="4"/>
  <c r="AA28" i="4"/>
  <c r="AA72" i="4"/>
  <c r="AA11" i="4"/>
  <c r="AA54" i="4"/>
  <c r="AA30" i="4"/>
  <c r="AA7" i="4"/>
  <c r="AA82" i="4"/>
  <c r="AA45" i="4"/>
  <c r="AA13" i="4"/>
  <c r="AA5" i="4"/>
  <c r="AA39" i="4"/>
  <c r="AA14" i="4"/>
  <c r="AA15" i="4"/>
  <c r="AA55" i="4"/>
  <c r="AA46" i="4"/>
  <c r="AA32" i="4"/>
  <c r="AA65" i="4"/>
  <c r="AA37" i="4"/>
  <c r="AA79" i="4"/>
  <c r="AA85" i="4"/>
  <c r="AA71" i="4"/>
  <c r="AA57" i="4"/>
  <c r="AA51" i="4"/>
  <c r="AA23" i="4"/>
  <c r="AA62" i="4"/>
  <c r="AA83" i="4"/>
  <c r="AA78" i="4"/>
  <c r="AA67" i="4"/>
  <c r="AA4" i="4"/>
  <c r="E16" i="1"/>
  <c r="V3" i="4"/>
  <c r="G9" i="1"/>
  <c r="E30" i="1"/>
  <c r="G28" i="1"/>
  <c r="X98" i="4"/>
  <c r="I3" i="1"/>
  <c r="C7" i="1"/>
  <c r="C20" i="1"/>
  <c r="C23" i="1" s="1"/>
  <c r="C6" i="1"/>
  <c r="C27" i="1"/>
  <c r="C21" i="1"/>
  <c r="C30" i="1"/>
  <c r="C26" i="1"/>
  <c r="Y4" i="4"/>
  <c r="C8" i="1"/>
  <c r="C16" i="1"/>
  <c r="H6" i="2"/>
  <c r="G13" i="1"/>
  <c r="G26" i="1"/>
  <c r="G22" i="1"/>
  <c r="G11" i="1"/>
  <c r="G18" i="1"/>
  <c r="G12" i="1"/>
  <c r="G10" i="1"/>
  <c r="G6" i="1"/>
  <c r="G25" i="1"/>
  <c r="G20" i="1"/>
  <c r="G30" i="1"/>
  <c r="G16" i="1"/>
  <c r="C31" i="1"/>
  <c r="D6" i="2"/>
  <c r="E25" i="1"/>
  <c r="E20" i="1"/>
  <c r="E6" i="1"/>
  <c r="E27" i="1"/>
  <c r="E21" i="1"/>
  <c r="E18" i="1"/>
  <c r="E26" i="1"/>
  <c r="E31" i="1"/>
  <c r="E7" i="1"/>
  <c r="G23" i="1"/>
  <c r="G14" i="1"/>
  <c r="G31" i="1"/>
  <c r="J16" i="1"/>
  <c r="V87" i="4" l="1"/>
  <c r="V91" i="4"/>
  <c r="V95" i="4"/>
  <c r="V98" i="4"/>
  <c r="V94" i="4"/>
  <c r="V88" i="4"/>
  <c r="V92" i="4"/>
  <c r="V89" i="4"/>
  <c r="V93" i="4"/>
  <c r="V90" i="4"/>
  <c r="V77" i="4"/>
  <c r="V25" i="4"/>
  <c r="V32" i="4"/>
  <c r="V16" i="4"/>
  <c r="V51" i="4"/>
  <c r="V43" i="4"/>
  <c r="V35" i="4"/>
  <c r="V27" i="4"/>
  <c r="V19" i="4"/>
  <c r="V11" i="4"/>
  <c r="V6" i="4"/>
  <c r="V30" i="4"/>
  <c r="V22" i="4"/>
  <c r="V14" i="4"/>
  <c r="V68" i="4"/>
  <c r="V61" i="4"/>
  <c r="V21" i="4"/>
  <c r="V85" i="4"/>
  <c r="V60" i="4"/>
  <c r="V36" i="4"/>
  <c r="V10" i="4"/>
  <c r="V74" i="4"/>
  <c r="V50" i="4"/>
  <c r="V65" i="4"/>
  <c r="V44" i="4"/>
  <c r="V28" i="4"/>
  <c r="V12" i="4"/>
  <c r="V83" i="4"/>
  <c r="V75" i="4"/>
  <c r="V67" i="4"/>
  <c r="V59" i="4"/>
  <c r="V8" i="4"/>
  <c r="V86" i="4"/>
  <c r="V78" i="4"/>
  <c r="V70" i="4"/>
  <c r="V62" i="4"/>
  <c r="V54" i="4"/>
  <c r="V46" i="4"/>
  <c r="V38" i="4"/>
  <c r="V9" i="4"/>
  <c r="V53" i="4"/>
  <c r="V45" i="4"/>
  <c r="V81" i="4"/>
  <c r="V13" i="4"/>
  <c r="V57" i="4"/>
  <c r="V29" i="4"/>
  <c r="V80" i="4"/>
  <c r="V20" i="4"/>
  <c r="V58" i="4"/>
  <c r="V7" i="4"/>
  <c r="V84" i="4"/>
  <c r="V52" i="4"/>
  <c r="V24" i="4"/>
  <c r="V55" i="4"/>
  <c r="V47" i="4"/>
  <c r="V39" i="4"/>
  <c r="V31" i="4"/>
  <c r="V23" i="4"/>
  <c r="V15" i="4"/>
  <c r="V34" i="4"/>
  <c r="V26" i="4"/>
  <c r="V18" i="4"/>
  <c r="V69" i="4"/>
  <c r="V17" i="4"/>
  <c r="V73" i="4"/>
  <c r="V33" i="4"/>
  <c r="V49" i="4"/>
  <c r="V5" i="4"/>
  <c r="V56" i="4"/>
  <c r="V64" i="4"/>
  <c r="V72" i="4"/>
  <c r="V76" i="4"/>
  <c r="V40" i="4"/>
  <c r="V79" i="4"/>
  <c r="V71" i="4"/>
  <c r="V63" i="4"/>
  <c r="V37" i="4"/>
  <c r="V82" i="4"/>
  <c r="V66" i="4"/>
  <c r="V42" i="4"/>
  <c r="V48" i="4"/>
  <c r="V41" i="4"/>
  <c r="V4" i="4"/>
  <c r="M39" i="2"/>
  <c r="M33" i="2"/>
  <c r="M32" i="2"/>
  <c r="M27" i="2"/>
  <c r="M26" i="2"/>
  <c r="M18" i="2"/>
  <c r="M17" i="2"/>
  <c r="M12" i="2"/>
  <c r="M9" i="2"/>
  <c r="M25" i="2"/>
  <c r="M43" i="2"/>
  <c r="M38" i="2"/>
  <c r="M21" i="2"/>
  <c r="M10" i="2"/>
  <c r="M36" i="2"/>
  <c r="M24" i="2"/>
  <c r="M11" i="2"/>
  <c r="M37" i="2"/>
  <c r="M35" i="2"/>
  <c r="M31" i="2"/>
  <c r="M30" i="2"/>
  <c r="M29" i="2"/>
  <c r="M23" i="2"/>
  <c r="M22" i="2"/>
  <c r="M14" i="2"/>
  <c r="M8" i="2"/>
  <c r="M40" i="2"/>
  <c r="M15" i="2"/>
  <c r="M41" i="2"/>
  <c r="M42" i="2"/>
  <c r="M20" i="2"/>
  <c r="I16" i="1"/>
  <c r="L3" i="4"/>
  <c r="C28" i="1"/>
  <c r="C14" i="1"/>
  <c r="E28" i="1"/>
  <c r="K23" i="1"/>
  <c r="P6" i="2"/>
  <c r="I27" i="1"/>
  <c r="I26" i="1"/>
  <c r="K25" i="1"/>
  <c r="I22" i="1"/>
  <c r="I21" i="1"/>
  <c r="I19" i="1"/>
  <c r="K11" i="1"/>
  <c r="I8" i="1"/>
  <c r="K12" i="1"/>
  <c r="I11" i="1"/>
  <c r="K6" i="1"/>
  <c r="K13" i="1"/>
  <c r="I12" i="1"/>
  <c r="I6" i="1"/>
  <c r="I28" i="1"/>
  <c r="K7" i="1"/>
  <c r="K30" i="1"/>
  <c r="I31" i="1"/>
  <c r="K27" i="1"/>
  <c r="K21" i="1"/>
  <c r="K18" i="1"/>
  <c r="K10" i="1"/>
  <c r="K8" i="1"/>
  <c r="K26" i="1"/>
  <c r="K20" i="1"/>
  <c r="I13" i="1"/>
  <c r="I9" i="1"/>
  <c r="K22" i="1"/>
  <c r="I10" i="1"/>
  <c r="I25" i="1"/>
  <c r="K28" i="1"/>
  <c r="I7" i="1"/>
  <c r="I20" i="1"/>
  <c r="K9" i="1"/>
  <c r="I18" i="1"/>
  <c r="K19" i="1"/>
  <c r="I30" i="1"/>
  <c r="K31" i="1"/>
  <c r="I14" i="1"/>
  <c r="I23" i="1"/>
  <c r="E14" i="1"/>
  <c r="K3" i="1"/>
  <c r="K14" i="1" s="1"/>
  <c r="E23" i="1"/>
  <c r="U63" i="2" l="1"/>
  <c r="U62" i="2"/>
  <c r="R61" i="2"/>
  <c r="T61" i="2" s="1"/>
  <c r="U56" i="2"/>
  <c r="R54" i="2"/>
  <c r="T54" i="2" s="1"/>
  <c r="U52" i="2"/>
  <c r="R50" i="2"/>
  <c r="T50" i="2" s="1"/>
  <c r="U48" i="2"/>
  <c r="R46" i="2"/>
  <c r="U29" i="2"/>
  <c r="R27" i="2"/>
  <c r="T27" i="2" s="1"/>
  <c r="U25" i="2"/>
  <c r="U24" i="2"/>
  <c r="U19" i="2"/>
  <c r="R12" i="2"/>
  <c r="T12" i="2" s="1"/>
  <c r="R10" i="2"/>
  <c r="T10" i="2" s="1"/>
  <c r="R9" i="2"/>
  <c r="T9" i="2" s="1"/>
  <c r="U58" i="2"/>
  <c r="U54" i="2"/>
  <c r="R52" i="2"/>
  <c r="T52" i="2" s="1"/>
  <c r="R35" i="2"/>
  <c r="T35" i="2" s="1"/>
  <c r="U21" i="2"/>
  <c r="R60" i="2"/>
  <c r="T60" i="2" s="1"/>
  <c r="U57" i="2"/>
  <c r="U53" i="2"/>
  <c r="U49" i="2"/>
  <c r="R47" i="2"/>
  <c r="T47" i="2" s="1"/>
  <c r="U33" i="2"/>
  <c r="U32" i="2"/>
  <c r="R28" i="2"/>
  <c r="T28" i="2" s="1"/>
  <c r="U18" i="2"/>
  <c r="R8" i="2"/>
  <c r="T8" i="2" s="1"/>
  <c r="U61" i="2"/>
  <c r="U60" i="2"/>
  <c r="R58" i="2"/>
  <c r="T58" i="2" s="1"/>
  <c r="R57" i="2"/>
  <c r="T57" i="2" s="1"/>
  <c r="U55" i="2"/>
  <c r="R49" i="2"/>
  <c r="T49" i="2" s="1"/>
  <c r="U47" i="2"/>
  <c r="R31" i="2"/>
  <c r="T31" i="2" s="1"/>
  <c r="R30" i="2"/>
  <c r="T30" i="2" s="1"/>
  <c r="U28" i="2"/>
  <c r="R26" i="2"/>
  <c r="T26" i="2" s="1"/>
  <c r="U23" i="2"/>
  <c r="U22" i="2"/>
  <c r="R18" i="2"/>
  <c r="T18" i="2" s="1"/>
  <c r="U16" i="2"/>
  <c r="R15" i="2"/>
  <c r="T15" i="2" s="1"/>
  <c r="R11" i="2"/>
  <c r="T11" i="2" s="1"/>
  <c r="R56" i="2"/>
  <c r="T56" i="2" s="1"/>
  <c r="R53" i="2"/>
  <c r="T53" i="2" s="1"/>
  <c r="R51" i="2"/>
  <c r="T51" i="2" s="1"/>
  <c r="U50" i="2"/>
  <c r="U46" i="2"/>
  <c r="R34" i="2"/>
  <c r="T34" i="2" s="1"/>
  <c r="R17" i="2"/>
  <c r="T17" i="2" s="1"/>
  <c r="U14" i="2"/>
  <c r="U13" i="2"/>
  <c r="R62" i="2"/>
  <c r="T62" i="2" s="1"/>
  <c r="R55" i="2"/>
  <c r="T55" i="2" s="1"/>
  <c r="R48" i="2"/>
  <c r="T48" i="2" s="1"/>
  <c r="U34" i="2"/>
  <c r="U9" i="2"/>
  <c r="U17" i="2"/>
  <c r="R16" i="2"/>
  <c r="T16" i="2" s="1"/>
  <c r="U30" i="2"/>
  <c r="R23" i="2"/>
  <c r="T23" i="2" s="1"/>
  <c r="R25" i="2"/>
  <c r="T25" i="2" s="1"/>
  <c r="U12" i="2"/>
  <c r="U15" i="2"/>
  <c r="R32" i="2"/>
  <c r="T32" i="2" s="1"/>
  <c r="R22" i="2"/>
  <c r="T22" i="2" s="1"/>
  <c r="U35" i="2"/>
  <c r="R14" i="2"/>
  <c r="T14" i="2" s="1"/>
  <c r="U11" i="2"/>
  <c r="R24" i="2"/>
  <c r="T24" i="2" s="1"/>
  <c r="U27" i="2"/>
  <c r="R21" i="2"/>
  <c r="T21" i="2" s="1"/>
  <c r="U20" i="2"/>
  <c r="R33" i="2"/>
  <c r="T33" i="2" s="1"/>
  <c r="R29" i="2"/>
  <c r="T29" i="2" s="1"/>
  <c r="U51" i="2"/>
  <c r="U10" i="2"/>
  <c r="U8" i="2"/>
  <c r="U26" i="2"/>
  <c r="U31" i="2"/>
  <c r="R20" i="2"/>
  <c r="T20" i="2" s="1"/>
  <c r="R13" i="2"/>
  <c r="T13" i="2" s="1"/>
  <c r="R19" i="2"/>
  <c r="T19" i="2" s="1"/>
  <c r="L5" i="4"/>
  <c r="L7" i="4"/>
  <c r="L9" i="4"/>
  <c r="L48" i="4"/>
  <c r="L59" i="4"/>
  <c r="L61" i="4"/>
  <c r="L63" i="4"/>
  <c r="L74" i="4"/>
  <c r="L76" i="4"/>
  <c r="L78" i="4"/>
  <c r="L80" i="4"/>
  <c r="L8" i="4"/>
  <c r="L49" i="4"/>
  <c r="L62" i="4"/>
  <c r="L77" i="4"/>
  <c r="L11" i="4"/>
  <c r="L13" i="4"/>
  <c r="L15" i="4"/>
  <c r="L17" i="4"/>
  <c r="L19" i="4"/>
  <c r="L21" i="4"/>
  <c r="L23" i="4"/>
  <c r="L25" i="4"/>
  <c r="L27" i="4"/>
  <c r="L29" i="4"/>
  <c r="L31" i="4"/>
  <c r="L33" i="4"/>
  <c r="L35" i="4"/>
  <c r="L37" i="4"/>
  <c r="L39" i="4"/>
  <c r="L44" i="4"/>
  <c r="L51" i="4"/>
  <c r="L53" i="4"/>
  <c r="L55" i="4"/>
  <c r="L66" i="4"/>
  <c r="L68" i="4"/>
  <c r="L70" i="4"/>
  <c r="L72" i="4"/>
  <c r="L83" i="4"/>
  <c r="L6" i="4"/>
  <c r="L10" i="4"/>
  <c r="L47" i="4"/>
  <c r="L58" i="4"/>
  <c r="L60" i="4"/>
  <c r="L64" i="4"/>
  <c r="L75" i="4"/>
  <c r="L79" i="4"/>
  <c r="L86" i="4"/>
  <c r="L12" i="4"/>
  <c r="L14" i="4"/>
  <c r="L16" i="4"/>
  <c r="L18" i="4"/>
  <c r="L20" i="4"/>
  <c r="L22" i="4"/>
  <c r="L24" i="4"/>
  <c r="L26" i="4"/>
  <c r="L28" i="4"/>
  <c r="L30" i="4"/>
  <c r="L32" i="4"/>
  <c r="L34" i="4"/>
  <c r="L36" i="4"/>
  <c r="L38" i="4"/>
  <c r="L40" i="4"/>
  <c r="L43" i="4"/>
  <c r="L45" i="4"/>
  <c r="L52" i="4"/>
  <c r="L54" i="4"/>
  <c r="L56" i="4"/>
  <c r="L67" i="4"/>
  <c r="L69" i="4"/>
  <c r="L71" i="4"/>
  <c r="L82" i="4"/>
  <c r="L84" i="4"/>
  <c r="L73" i="4"/>
  <c r="L65" i="4"/>
  <c r="L42" i="4"/>
  <c r="L57" i="4"/>
  <c r="L46" i="4"/>
  <c r="L50" i="4"/>
  <c r="L41" i="4"/>
  <c r="L85" i="4"/>
  <c r="L81" i="4"/>
  <c r="L4" i="4"/>
  <c r="K16" i="1"/>
  <c r="T46" i="2" l="1"/>
  <c r="R63" i="2"/>
  <c r="T63" i="2" s="1"/>
</calcChain>
</file>

<file path=xl/sharedStrings.xml><?xml version="1.0" encoding="utf-8"?>
<sst xmlns="http://schemas.openxmlformats.org/spreadsheetml/2006/main" count="768" uniqueCount="257">
  <si>
    <t>Сравнительная таблица отношения площадей к общей площади</t>
  </si>
  <si>
    <t>Этажность</t>
  </si>
  <si>
    <t>24,22,24</t>
  </si>
  <si>
    <t>Комментарии</t>
  </si>
  <si>
    <t>Наименование помещений</t>
  </si>
  <si>
    <t>УКРОП</t>
  </si>
  <si>
    <t>АТМОСФЕРА1</t>
  </si>
  <si>
    <t>АТМОСФЕРА2</t>
  </si>
  <si>
    <t>АТМОСФЕРА3</t>
  </si>
  <si>
    <t>Площадь, м2</t>
  </si>
  <si>
    <t>% от общей площади</t>
  </si>
  <si>
    <t xml:space="preserve">Продаваемая площадь </t>
  </si>
  <si>
    <t>Продаваемая площадь (жилая)</t>
  </si>
  <si>
    <t>Коммерция</t>
  </si>
  <si>
    <t>-</t>
  </si>
  <si>
    <t>Гаражи на первом этаже</t>
  </si>
  <si>
    <t>Внеквартирные помещения (кладовки) с коэф. 0,4</t>
  </si>
  <si>
    <t>Хоз. кладовые с коэф. 0,4</t>
  </si>
  <si>
    <t>Чайная</t>
  </si>
  <si>
    <t>Коворкинг</t>
  </si>
  <si>
    <t>Игровая</t>
  </si>
  <si>
    <t>ИТОГО</t>
  </si>
  <si>
    <t>Непродаваемая площадь</t>
  </si>
  <si>
    <t>ВСЕГО</t>
  </si>
  <si>
    <t>"Фишки" проекта</t>
  </si>
  <si>
    <t>Внеквартирные помещения (кладовки) ост</t>
  </si>
  <si>
    <t>Хоз. кладовые ост</t>
  </si>
  <si>
    <t xml:space="preserve">Колясочная </t>
  </si>
  <si>
    <t>Велосипедная</t>
  </si>
  <si>
    <t>Лобби</t>
  </si>
  <si>
    <t>Места общего пользования</t>
  </si>
  <si>
    <t>Квартирный и лифтовый холл</t>
  </si>
  <si>
    <t>Лестничная клетка</t>
  </si>
  <si>
    <t>Балкон перехода</t>
  </si>
  <si>
    <t>Технические помещения</t>
  </si>
  <si>
    <t>Технические помещения(подвал,тех.этаж)</t>
  </si>
  <si>
    <t>в том числе под оборудование (насосная, электрощитовая, ТГ, маш.отделение)</t>
  </si>
  <si>
    <t>Парковка</t>
  </si>
  <si>
    <t>АТМОСФЕРА 1</t>
  </si>
  <si>
    <t>Технические помещения парковки</t>
  </si>
  <si>
    <t>Проезды парковки</t>
  </si>
  <si>
    <t>Вид работ</t>
  </si>
  <si>
    <t>Наименование работ</t>
  </si>
  <si>
    <t>Ед. изм.</t>
  </si>
  <si>
    <t>Объект</t>
  </si>
  <si>
    <t>Атмосфера 1</t>
  </si>
  <si>
    <t>Атмосфера 2</t>
  </si>
  <si>
    <t>Объем</t>
  </si>
  <si>
    <t>Стоимость работ за ед.</t>
  </si>
  <si>
    <t>Стоимость работ</t>
  </si>
  <si>
    <t>Стоимость материала за ед.</t>
  </si>
  <si>
    <t>Стоимость материала</t>
  </si>
  <si>
    <t>Работа+материал</t>
  </si>
  <si>
    <t>Стоимость на 1м2 продаваемой площади</t>
  </si>
  <si>
    <t xml:space="preserve">Стоимость 
</t>
  </si>
  <si>
    <t>Нулевой цикл</t>
  </si>
  <si>
    <t>Бурение лидер-скважин</t>
  </si>
  <si>
    <t>Срубка оголовков свай</t>
  </si>
  <si>
    <t>Монолитный каркас</t>
  </si>
  <si>
    <t>Устройство щебеночной подготовки</t>
  </si>
  <si>
    <t>Устройство бетонной подготовки</t>
  </si>
  <si>
    <t>Устройство ж/б ростверка</t>
  </si>
  <si>
    <t>Изготовление арматурных каркасов</t>
  </si>
  <si>
    <t>Устройство полов бетонных</t>
  </si>
  <si>
    <t>Монолит стен подвала</t>
  </si>
  <si>
    <t>Устройство ж/б лестниц</t>
  </si>
  <si>
    <t>Устройство ж/б плит перекрытия</t>
  </si>
  <si>
    <t>Кладочные работы</t>
  </si>
  <si>
    <t>Наружные стены из кирпича</t>
  </si>
  <si>
    <t>Перегородки из керамзитобетонного блока</t>
  </si>
  <si>
    <t>Перегородки 120мм</t>
  </si>
  <si>
    <t>Внутренние стены из керамического полнотелого кирпича (одинарного)</t>
  </si>
  <si>
    <t>Металлоконструкции</t>
  </si>
  <si>
    <t>Монтаж и изготовление м/к перемычек</t>
  </si>
  <si>
    <t>Отмостка</t>
  </si>
  <si>
    <t>Тротуарная плитка отмостки</t>
  </si>
  <si>
    <t>Фасадные работы</t>
  </si>
  <si>
    <t>Теплоизоляция наружных стен</t>
  </si>
  <si>
    <t>Отделочные работы</t>
  </si>
  <si>
    <t>Устройство цементной стяжки в квартирах</t>
  </si>
  <si>
    <t>Устройство цементной стяжки в МОП</t>
  </si>
  <si>
    <t>Декоративная штукатурка стен</t>
  </si>
  <si>
    <t>Отделка стен (короед)</t>
  </si>
  <si>
    <t>Двери и окна</t>
  </si>
  <si>
    <t>Противопожарные и технические двери, в т.ч. люка в МП</t>
  </si>
  <si>
    <t>Двери кухонные деревянные</t>
  </si>
  <si>
    <t>Внутренние стены из керамзитобетонного блока со звукоизоляцией</t>
  </si>
  <si>
    <t>Перегородки 65мм</t>
  </si>
  <si>
    <t>Перегородки из пазогребневых плит</t>
  </si>
  <si>
    <t>Кровельные работы</t>
  </si>
  <si>
    <t>Устройство кровли</t>
  </si>
  <si>
    <t>Штукатурка внутренних стен квартир</t>
  </si>
  <si>
    <t>Облицова клинкерной плиткой</t>
  </si>
  <si>
    <t>Облицовка фасада композитными панелями</t>
  </si>
  <si>
    <t>Вентблоки</t>
  </si>
  <si>
    <t>№</t>
  </si>
  <si>
    <t>Стоимость Укроп</t>
  </si>
  <si>
    <t>Стоимость Атмосфера 1</t>
  </si>
  <si>
    <t>Стоимость Атмосфера 2</t>
  </si>
  <si>
    <t>м.п</t>
  </si>
  <si>
    <t>шт</t>
  </si>
  <si>
    <t>Обратная засыпка песком</t>
  </si>
  <si>
    <t>м3</t>
  </si>
  <si>
    <t xml:space="preserve">Забивка свай </t>
  </si>
  <si>
    <t>Установка вентблоков</t>
  </si>
  <si>
    <t xml:space="preserve">Устройство кровли </t>
  </si>
  <si>
    <t>Двери входные квартирные (металлические)</t>
  </si>
  <si>
    <t xml:space="preserve">Штукатурка, утепление фасада, покраска </t>
  </si>
  <si>
    <t>Наружные стены ( газоблок)</t>
  </si>
  <si>
    <t>Монтаж и изготовление м/к ограждение балконов</t>
  </si>
  <si>
    <t>Снятие маяков после штукатурки</t>
  </si>
  <si>
    <t xml:space="preserve">Обратная засыпка песком </t>
  </si>
  <si>
    <t>Устройство ж/б стен, колонн</t>
  </si>
  <si>
    <t>Обрамление окна</t>
  </si>
  <si>
    <t>Монтаж и изготовление м/к ограждений лестничных клеток</t>
  </si>
  <si>
    <t>Оконно-дверные блоки ПВХ</t>
  </si>
  <si>
    <t>Ручная штукатурка стен квартир</t>
  </si>
  <si>
    <t>Шахта ДУ наружная</t>
  </si>
  <si>
    <t>Алюминиевые витражи</t>
  </si>
  <si>
    <t>Штукатурка стен МОП</t>
  </si>
  <si>
    <t>Монтаж ламелей</t>
  </si>
  <si>
    <t>Кирпичная кладка Балконные ограждения</t>
  </si>
  <si>
    <t>Входные группы и двери МОП</t>
  </si>
  <si>
    <t xml:space="preserve">Обшивка стен из ГКЛ </t>
  </si>
  <si>
    <t>Внутренние стены из газоблока</t>
  </si>
  <si>
    <t>Утепление стен (коридор к балкону перехода)</t>
  </si>
  <si>
    <t>Устройство фундаментов под перегородки, набетонки + устройство входов</t>
  </si>
  <si>
    <t>Штукатурка парапета</t>
  </si>
  <si>
    <t xml:space="preserve">Утепление ВШ выше отметки кровли </t>
  </si>
  <si>
    <t>Утепление стен подвала</t>
  </si>
  <si>
    <t>Штукатурка стен подвала</t>
  </si>
  <si>
    <t>Закладка шнура Пенебар для гидроизоляции стен подвала</t>
  </si>
  <si>
    <t>м2</t>
  </si>
  <si>
    <t xml:space="preserve">Устройство крылец и приямков, анкеровка </t>
  </si>
  <si>
    <t>м</t>
  </si>
  <si>
    <t>Отделка стен керамогранитом</t>
  </si>
  <si>
    <t>Устройство крылец и приямков, анкеровка</t>
  </si>
  <si>
    <t>Вентшахты, дымоходы из одинарного кирпича выше отметки кровли</t>
  </si>
  <si>
    <t>Облицовка стен плиткой</t>
  </si>
  <si>
    <t xml:space="preserve">Отмостка </t>
  </si>
  <si>
    <t>Кирпичная кладка парапета и МП 250мм</t>
  </si>
  <si>
    <t>Покраска стен в МОП шпатлевка черновая</t>
  </si>
  <si>
    <t>тн</t>
  </si>
  <si>
    <t>Покраса стен в МОП стеклохолст,латекс</t>
  </si>
  <si>
    <t>Покраска стен в МОП  краска</t>
  </si>
  <si>
    <t>Декоративная штукатурка стен подвала (короед)</t>
  </si>
  <si>
    <t>Окраска стен тех. помещений подвала</t>
  </si>
  <si>
    <t>Устройство потолка из ГКЛ</t>
  </si>
  <si>
    <t>Устройство потолка из перфорированных металлических листов</t>
  </si>
  <si>
    <t>Реечный подвесной потолок</t>
  </si>
  <si>
    <t>Натяжной потолок</t>
  </si>
  <si>
    <t>Окраска потолка</t>
  </si>
  <si>
    <t>Потолок окрашенный по бетону под реечным потолком</t>
  </si>
  <si>
    <t>Окраска потолка подвала</t>
  </si>
  <si>
    <t>Устройство потолка ПВС"Албес"</t>
  </si>
  <si>
    <t xml:space="preserve">Устройство цементной стяжки в МОП </t>
  </si>
  <si>
    <t>Облицовка пола плиткой ЛК</t>
  </si>
  <si>
    <t>Укладка плитки пола</t>
  </si>
  <si>
    <t>Укладка керамогранита на пол</t>
  </si>
  <si>
    <t>Отделка ступеней керамогранитом</t>
  </si>
  <si>
    <t>Укладка ковролина</t>
  </si>
  <si>
    <t>Устройство полов из плитки подвала</t>
  </si>
  <si>
    <t>Устройство  откосов</t>
  </si>
  <si>
    <t>Монтаж и изготовление металлических конструкций ограждений парапета и защиты оборудования на кровле</t>
  </si>
  <si>
    <t>Монтаж и изготовление металлических конструкций козырьков, навесов и т.п</t>
  </si>
  <si>
    <t>Обшивка стен из ГКЛ</t>
  </si>
  <si>
    <t>Утепление ВШ выше отметки кровли</t>
  </si>
  <si>
    <t>Штукатурка, утепление фасада, покраска</t>
  </si>
  <si>
    <t xml:space="preserve">Сравнительный анализ стоимости объектов </t>
  </si>
  <si>
    <t>№РСО</t>
  </si>
  <si>
    <t xml:space="preserve">Соотношение стоимостей на 1м2 </t>
  </si>
  <si>
    <t>Соотношение объемов</t>
  </si>
  <si>
    <t>Разница стоимостей на ед. объема</t>
  </si>
  <si>
    <t>Атмосфера 3</t>
  </si>
  <si>
    <t>Гиперссылка на РСО</t>
  </si>
  <si>
    <t>РСО_Атмосфера_Д1_29.01.xlsx</t>
  </si>
  <si>
    <t>РСО Атмосфера2  27.03.21.xlsx</t>
  </si>
  <si>
    <t>Площадь продаваемая</t>
  </si>
  <si>
    <t>Площадь общая</t>
  </si>
  <si>
    <t xml:space="preserve">Наименование работ </t>
  </si>
  <si>
    <t>Стоимость</t>
  </si>
  <si>
    <t>Стоимость на ед. объема</t>
  </si>
  <si>
    <t>Стоимость на 1 м2</t>
  </si>
  <si>
    <t>1.1.1</t>
  </si>
  <si>
    <t>Ниже отм. 0, 000</t>
  </si>
  <si>
    <t>1.1.2.1</t>
  </si>
  <si>
    <t xml:space="preserve">Монолитный Ж/Б каркас </t>
  </si>
  <si>
    <t>1.1.2.2</t>
  </si>
  <si>
    <t>Кирпичная кладка</t>
  </si>
  <si>
    <t>1.1.2.3</t>
  </si>
  <si>
    <t xml:space="preserve">Установка Вентблоков </t>
  </si>
  <si>
    <t>1.1.2.5</t>
  </si>
  <si>
    <t>1.1.2.6</t>
  </si>
  <si>
    <t xml:space="preserve">Металл.конструкции </t>
  </si>
  <si>
    <t>Перемычки</t>
  </si>
  <si>
    <t>Ограждения</t>
  </si>
  <si>
    <t>1.1.2.7</t>
  </si>
  <si>
    <t>Окна и двери</t>
  </si>
  <si>
    <t>Окна и двери ПВХ/алюминий</t>
  </si>
  <si>
    <t>Двери</t>
  </si>
  <si>
    <t>1.1.3</t>
  </si>
  <si>
    <t xml:space="preserve">Отделочные работы </t>
  </si>
  <si>
    <t xml:space="preserve">МОП 1 этаж </t>
  </si>
  <si>
    <t>Полы</t>
  </si>
  <si>
    <t>Стены декоративная отделка</t>
  </si>
  <si>
    <t>Стяжка</t>
  </si>
  <si>
    <t>Потолок</t>
  </si>
  <si>
    <t>Штукатурка черновая</t>
  </si>
  <si>
    <t>Обшивка стен ГКЛ</t>
  </si>
  <si>
    <t>Откосы</t>
  </si>
  <si>
    <t>Декоративные элементы</t>
  </si>
  <si>
    <t>Типовой этаж</t>
  </si>
  <si>
    <t>Подвал/тех. Этаж</t>
  </si>
  <si>
    <t>Квартиры</t>
  </si>
  <si>
    <t>Кровля</t>
  </si>
  <si>
    <t>Наполнение продукта (пробные образцы)</t>
  </si>
  <si>
    <t>1.1.3.9</t>
  </si>
  <si>
    <t>Фасад</t>
  </si>
  <si>
    <t>1.1.4</t>
  </si>
  <si>
    <t xml:space="preserve">Монтаж инженерных коммуникаций </t>
  </si>
  <si>
    <t>Монтаж системы ОВ (котлы и коаксиальный трубопровод)+КИВ</t>
  </si>
  <si>
    <t>Монтаж системы водоснабжения и канализации</t>
  </si>
  <si>
    <t>Монтаж внутренней электропроводки квартир и нежилых помещений и  мест общего пользования  с установкой этажных щитков и вводного устройства ВРУ</t>
  </si>
  <si>
    <t>Монтаж лифтового оборудования</t>
  </si>
  <si>
    <t>Монтаж и изготовление систем дымоудаления от котлов</t>
  </si>
  <si>
    <t>Дымоудаление в местах общего пользования</t>
  </si>
  <si>
    <t>Монтаж АПС СОУЭ, автоматика ДУ</t>
  </si>
  <si>
    <t>Монтаж системы газоснабжения здания</t>
  </si>
  <si>
    <t>Магистральная система доотчистки водопроводной воды Аквалид PRO automatic</t>
  </si>
  <si>
    <t>Скуд ( домофоны видеонаблюдение)</t>
  </si>
  <si>
    <t>подсветка фасада</t>
  </si>
  <si>
    <t xml:space="preserve">карзины под сплитсистемы </t>
  </si>
  <si>
    <t>Трасса под установку сплит-систем</t>
  </si>
  <si>
    <t>Сети радиофикации, телефонизации, Internet, всеволновое телевидение</t>
  </si>
  <si>
    <t xml:space="preserve">Поставка и монтаж коллективных дымоходов </t>
  </si>
  <si>
    <t>Кладовки</t>
  </si>
  <si>
    <t>Соотношение стоимостей на ед. объема</t>
  </si>
  <si>
    <t>Объем Атмосфера 2</t>
  </si>
  <si>
    <t>Укроп</t>
  </si>
  <si>
    <t>Объем Укроп</t>
  </si>
  <si>
    <t>Объем Атмосфера1</t>
  </si>
  <si>
    <t xml:space="preserve">Стоимость материала </t>
  </si>
  <si>
    <t>Текущий объект (Атмосфера 3)</t>
  </si>
  <si>
    <t>Объем на 1м2 общей площади</t>
  </si>
  <si>
    <t>Благоустройство</t>
  </si>
  <si>
    <t>Инженерные сети</t>
  </si>
  <si>
    <t>Монтаж системы отопления (котлы)</t>
  </si>
  <si>
    <t>Монтаж и изготовление системы дымоудоления от котлов</t>
  </si>
  <si>
    <t>Подсветка фасада</t>
  </si>
  <si>
    <t xml:space="preserve">Корзины под сплит системы </t>
  </si>
  <si>
    <t>Работа</t>
  </si>
  <si>
    <t>Материал</t>
  </si>
  <si>
    <t>АТМОСФЕРА4</t>
  </si>
  <si>
    <t>22,21,24</t>
  </si>
  <si>
    <t>21,22,24</t>
  </si>
  <si>
    <t>Статус</t>
  </si>
  <si>
    <t>Проект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</si>
</sst>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₽&quot;_-;\-* #,##0.00\ &quot;₽&quot;_-;_-* &quot;-&quot;??\ &quot;₽&quot;_-;_-@_-"/>
    <numFmt numFmtId="164" formatCode="_-* #,##0.00\ _₽_-;\-* #,##0.00\ _₽_-;_-* &quot;-&quot;??\ _₽_-;_-@_-"/>
    <numFmt numFmtId="165" formatCode="[$-419]General"/>
    <numFmt numFmtId="166" formatCode="#,##0.0"/>
    <numFmt numFmtId="167" formatCode="0.0"/>
    <numFmt numFmtId="168" formatCode="_-* #,##0.00\ &quot;₽&quot;_-;\-* #,##0.00\ &quot;₽&quot;_-;_-* &quot;-&quot;??\ &quot;₽&quot;_-;_-@"/>
  </numFmts>
  <fonts count="36">
    <font>
      <sz val="11"/>
      <color theme="1"/>
      <name val="Calibri"/>
      <charset val="204"/>
      <scheme val="minor"/>
    </font>
    <font>
      <b/>
      <sz val="12"/>
      <color theme="1"/>
      <name val="Calibri"/>
      <charset val="204"/>
      <scheme val="minor"/>
    </font>
    <font>
      <b/>
      <sz val="10"/>
      <color theme="1"/>
      <name val="Calibri"/>
      <charset val="204"/>
      <scheme val="minor"/>
    </font>
    <font>
      <b/>
      <sz val="10"/>
      <color theme="1"/>
      <name val="Calibri"/>
      <charset val="134"/>
      <scheme val="minor"/>
    </font>
    <font>
      <u/>
      <sz val="11"/>
      <color theme="10"/>
      <name val="Calibri"/>
      <charset val="204"/>
      <scheme val="minor"/>
    </font>
    <font>
      <b/>
      <i/>
      <sz val="11"/>
      <name val="Calibri"/>
      <charset val="134"/>
      <scheme val="minor"/>
    </font>
    <font>
      <b/>
      <sz val="10"/>
      <name val="Calibri"/>
      <charset val="204"/>
      <scheme val="minor"/>
    </font>
    <font>
      <sz val="10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i/>
      <sz val="10"/>
      <color theme="1"/>
      <name val="Calibri"/>
      <charset val="204"/>
      <scheme val="minor"/>
    </font>
    <font>
      <i/>
      <sz val="11"/>
      <name val="Calibri"/>
      <charset val="134"/>
      <scheme val="minor"/>
    </font>
    <font>
      <i/>
      <sz val="11"/>
      <color theme="4" tint="-0.249977111117893"/>
      <name val="Calibri"/>
      <charset val="134"/>
      <scheme val="minor"/>
    </font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204"/>
      <scheme val="minor"/>
    </font>
    <font>
      <b/>
      <sz val="10"/>
      <name val="Calibri"/>
      <charset val="134"/>
      <scheme val="minor"/>
    </font>
    <font>
      <b/>
      <i/>
      <sz val="11"/>
      <name val="Calibri"/>
      <charset val="204"/>
      <scheme val="minor"/>
    </font>
    <font>
      <i/>
      <sz val="11"/>
      <name val="Calibri"/>
      <charset val="204"/>
      <scheme val="minor"/>
    </font>
    <font>
      <b/>
      <sz val="14"/>
      <name val="Calibri"/>
      <charset val="134"/>
      <scheme val="minor"/>
    </font>
    <font>
      <b/>
      <sz val="14"/>
      <color theme="1"/>
      <name val="Calibri"/>
      <charset val="204"/>
      <scheme val="minor"/>
    </font>
    <font>
      <b/>
      <sz val="11"/>
      <name val="Calibri"/>
      <charset val="20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color theme="1"/>
      <name val="Arial"/>
      <charset val="204"/>
    </font>
    <font>
      <sz val="10"/>
      <color rgb="FF000000"/>
      <name val="Arial Cyr"/>
      <charset val="204"/>
    </font>
    <font>
      <sz val="11"/>
      <color indexed="8"/>
      <name val="Calibri"/>
      <charset val="204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</font>
    <font>
      <i/>
      <sz val="11"/>
      <color theme="4" tint="-0.249977111117893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FEA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E3E9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EE2F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</borders>
  <cellStyleXfs count="6">
    <xf numFmtId="0" fontId="0" fillId="0" borderId="0"/>
    <xf numFmtId="0" fontId="4" fillId="0" borderId="0"/>
    <xf numFmtId="0" fontId="25" fillId="0" borderId="0"/>
    <xf numFmtId="165" fontId="24" fillId="0" borderId="0"/>
    <xf numFmtId="0" fontId="23" fillId="0" borderId="0"/>
    <xf numFmtId="164" fontId="22" fillId="0" borderId="0"/>
  </cellStyleXfs>
  <cellXfs count="38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/>
    </xf>
    <xf numFmtId="0" fontId="2" fillId="3" borderId="21" xfId="0" applyFont="1" applyFill="1" applyBorder="1"/>
    <xf numFmtId="0" fontId="2" fillId="3" borderId="22" xfId="0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/>
    </xf>
    <xf numFmtId="0" fontId="2" fillId="3" borderId="25" xfId="0" applyFont="1" applyFill="1" applyBorder="1"/>
    <xf numFmtId="0" fontId="2" fillId="3" borderId="26" xfId="0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2" fillId="3" borderId="25" xfId="0" applyFont="1" applyFill="1" applyBorder="1" applyAlignment="1">
      <alignment vertical="center"/>
    </xf>
    <xf numFmtId="0" fontId="0" fillId="0" borderId="25" xfId="0" applyBorder="1" applyAlignment="1">
      <alignment horizontal="left" indent="2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4" fontId="7" fillId="0" borderId="26" xfId="0" applyNumberFormat="1" applyFont="1" applyBorder="1" applyAlignment="1">
      <alignment horizontal="center" vertical="center"/>
    </xf>
    <xf numFmtId="4" fontId="2" fillId="0" borderId="26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left" indent="5"/>
    </xf>
    <xf numFmtId="4" fontId="2" fillId="0" borderId="26" xfId="0" applyNumberFormat="1" applyFont="1" applyBorder="1" applyAlignment="1">
      <alignment horizontal="center" vertical="center"/>
    </xf>
    <xf numFmtId="49" fontId="7" fillId="5" borderId="6" xfId="0" applyNumberFormat="1" applyFont="1" applyFill="1" applyBorder="1"/>
    <xf numFmtId="0" fontId="9" fillId="5" borderId="25" xfId="0" applyFont="1" applyFill="1" applyBorder="1" applyAlignment="1">
      <alignment horizontal="right" wrapText="1"/>
    </xf>
    <xf numFmtId="0" fontId="9" fillId="5" borderId="26" xfId="0" applyFont="1" applyFill="1" applyBorder="1" applyAlignment="1">
      <alignment horizontal="center" vertical="center" wrapText="1"/>
    </xf>
    <xf numFmtId="166" fontId="10" fillId="0" borderId="25" xfId="2" applyNumberFormat="1" applyFont="1" applyFill="1" applyBorder="1" applyAlignment="1" applyProtection="1">
      <alignment vertical="center" wrapText="1"/>
    </xf>
    <xf numFmtId="166" fontId="10" fillId="0" borderId="26" xfId="2" applyNumberFormat="1" applyFont="1" applyFill="1" applyBorder="1" applyAlignment="1" applyProtection="1">
      <alignment horizontal="center" vertical="center" wrapText="1"/>
    </xf>
    <xf numFmtId="166" fontId="11" fillId="5" borderId="25" xfId="2" applyNumberFormat="1" applyFont="1" applyFill="1" applyBorder="1" applyAlignment="1" applyProtection="1">
      <alignment vertical="center" wrapText="1"/>
    </xf>
    <xf numFmtId="166" fontId="11" fillId="5" borderId="26" xfId="2" applyNumberFormat="1" applyFont="1" applyFill="1" applyBorder="1" applyAlignment="1" applyProtection="1">
      <alignment horizontal="center" vertical="center" wrapText="1"/>
    </xf>
    <xf numFmtId="49" fontId="12" fillId="6" borderId="12" xfId="0" applyNumberFormat="1" applyFont="1" applyFill="1" applyBorder="1"/>
    <xf numFmtId="0" fontId="12" fillId="6" borderId="29" xfId="0" applyFont="1" applyFill="1" applyBorder="1"/>
    <xf numFmtId="0" fontId="12" fillId="6" borderId="30" xfId="0" applyFont="1" applyFill="1" applyBorder="1" applyAlignment="1">
      <alignment horizontal="center" vertical="center"/>
    </xf>
    <xf numFmtId="4" fontId="2" fillId="6" borderId="30" xfId="0" applyNumberFormat="1" applyFont="1" applyFill="1" applyBorder="1" applyAlignment="1">
      <alignment horizontal="center" vertical="center"/>
    </xf>
    <xf numFmtId="49" fontId="12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  <protection locked="0"/>
    </xf>
    <xf numFmtId="0" fontId="3" fillId="2" borderId="35" xfId="0" applyFont="1" applyFill="1" applyBorder="1" applyAlignment="1" applyProtection="1">
      <alignment horizontal="center" vertical="center" wrapText="1"/>
      <protection locked="0"/>
    </xf>
    <xf numFmtId="4" fontId="2" fillId="0" borderId="0" xfId="0" applyNumberFormat="1" applyFont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wrapText="1"/>
      <protection locked="0"/>
    </xf>
    <xf numFmtId="0" fontId="3" fillId="2" borderId="38" xfId="0" applyFont="1" applyFill="1" applyBorder="1" applyAlignment="1" applyProtection="1">
      <alignment horizontal="center" vertical="center" wrapText="1"/>
      <protection locked="0"/>
    </xf>
    <xf numFmtId="4" fontId="2" fillId="7" borderId="22" xfId="0" applyNumberFormat="1" applyFont="1" applyFill="1" applyBorder="1" applyAlignment="1">
      <alignment horizontal="center" vertical="center"/>
    </xf>
    <xf numFmtId="4" fontId="2" fillId="7" borderId="2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 vertical="center"/>
    </xf>
    <xf numFmtId="44" fontId="14" fillId="0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166" fontId="16" fillId="0" borderId="27" xfId="2" applyNumberFormat="1" applyFont="1" applyFill="1" applyBorder="1" applyAlignment="1" applyProtection="1">
      <alignment vertical="center" wrapText="1"/>
    </xf>
    <xf numFmtId="166" fontId="17" fillId="0" borderId="27" xfId="2" applyNumberFormat="1" applyFont="1" applyFill="1" applyBorder="1" applyAlignment="1" applyProtection="1">
      <alignment horizontal="center" vertical="center" wrapText="1"/>
    </xf>
    <xf numFmtId="44" fontId="17" fillId="0" borderId="27" xfId="2" applyNumberFormat="1" applyFont="1" applyFill="1" applyBorder="1" applyAlignment="1" applyProtection="1">
      <alignment horizontal="center" vertical="center" wrapText="1"/>
    </xf>
    <xf numFmtId="0" fontId="0" fillId="0" borderId="27" xfId="0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166" fontId="14" fillId="0" borderId="27" xfId="2" applyNumberFormat="1" applyFont="1" applyFill="1" applyBorder="1" applyAlignment="1" applyProtection="1">
      <alignment horizontal="center" vertical="center" wrapText="1"/>
    </xf>
    <xf numFmtId="166" fontId="16" fillId="0" borderId="27" xfId="2" applyNumberFormat="1" applyFont="1" applyFill="1" applyBorder="1" applyAlignment="1" applyProtection="1">
      <alignment horizontal="left" vertical="center" wrapText="1"/>
    </xf>
    <xf numFmtId="166" fontId="16" fillId="9" borderId="27" xfId="2" applyNumberFormat="1" applyFont="1" applyFill="1" applyBorder="1" applyAlignment="1" applyProtection="1">
      <alignment horizontal="left" vertical="center" wrapText="1"/>
    </xf>
    <xf numFmtId="0" fontId="0" fillId="0" borderId="27" xfId="0" applyBorder="1" applyAlignment="1">
      <alignment wrapText="1"/>
    </xf>
    <xf numFmtId="0" fontId="0" fillId="0" borderId="0" xfId="0" applyAlignment="1">
      <alignment wrapText="1"/>
    </xf>
    <xf numFmtId="0" fontId="0" fillId="0" borderId="3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5" xfId="0" applyBorder="1" applyAlignment="1">
      <alignment wrapText="1"/>
    </xf>
    <xf numFmtId="166" fontId="16" fillId="0" borderId="0" xfId="2" applyNumberFormat="1" applyFont="1" applyFill="1" applyBorder="1" applyAlignment="1" applyProtection="1">
      <alignment horizontal="left" vertical="center" wrapText="1"/>
    </xf>
    <xf numFmtId="0" fontId="0" fillId="0" borderId="27" xfId="0" applyBorder="1" applyAlignment="1">
      <alignment horizontal="center" vertical="center"/>
    </xf>
    <xf numFmtId="44" fontId="0" fillId="0" borderId="46" xfId="0" applyNumberFormat="1" applyBorder="1" applyAlignment="1">
      <alignment horizontal="center" vertical="center" wrapText="1"/>
    </xf>
    <xf numFmtId="0" fontId="0" fillId="0" borderId="0" xfId="0"/>
    <xf numFmtId="44" fontId="0" fillId="0" borderId="0" xfId="0" applyNumberFormat="1"/>
    <xf numFmtId="0" fontId="0" fillId="0" borderId="27" xfId="0" applyBorder="1"/>
    <xf numFmtId="44" fontId="0" fillId="0" borderId="27" xfId="0" applyNumberFormat="1" applyBorder="1"/>
    <xf numFmtId="44" fontId="6" fillId="8" borderId="27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left"/>
    </xf>
    <xf numFmtId="0" fontId="0" fillId="0" borderId="16" xfId="0" applyBorder="1" applyAlignment="1">
      <alignment horizontal="left" vertical="center"/>
    </xf>
    <xf numFmtId="0" fontId="0" fillId="11" borderId="2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2" borderId="23" xfId="0" applyFill="1" applyBorder="1" applyAlignment="1">
      <alignment horizontal="center" vertical="center"/>
    </xf>
    <xf numFmtId="2" fontId="0" fillId="12" borderId="39" xfId="0" applyNumberFormat="1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7" xfId="0" applyFill="1" applyBorder="1" applyAlignment="1">
      <alignment vertical="center" wrapText="1"/>
    </xf>
    <xf numFmtId="0" fontId="0" fillId="8" borderId="27" xfId="0" applyFill="1" applyBorder="1" applyAlignment="1">
      <alignment vertical="center"/>
    </xf>
    <xf numFmtId="0" fontId="0" fillId="8" borderId="27" xfId="0" applyFill="1" applyBorder="1" applyAlignment="1">
      <alignment horizontal="center" vertical="center" wrapText="1"/>
    </xf>
    <xf numFmtId="0" fontId="0" fillId="12" borderId="27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0" fillId="0" borderId="25" xfId="0" applyBorder="1" applyAlignment="1">
      <alignment horizontal="left" vertical="center"/>
    </xf>
    <xf numFmtId="166" fontId="0" fillId="11" borderId="27" xfId="0" applyNumberFormat="1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/>
    </xf>
    <xf numFmtId="166" fontId="0" fillId="8" borderId="27" xfId="0" applyNumberFormat="1" applyFill="1" applyBorder="1" applyAlignment="1">
      <alignment horizontal="center" vertical="center" wrapText="1"/>
    </xf>
    <xf numFmtId="0" fontId="8" fillId="12" borderId="27" xfId="0" applyFont="1" applyFill="1" applyBorder="1" applyAlignment="1">
      <alignment horizontal="center" vertical="center"/>
    </xf>
    <xf numFmtId="167" fontId="8" fillId="12" borderId="41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left" vertical="center" wrapText="1"/>
    </xf>
    <xf numFmtId="0" fontId="0" fillId="12" borderId="41" xfId="0" applyFill="1" applyBorder="1" applyAlignment="1">
      <alignment horizontal="center" vertical="center"/>
    </xf>
    <xf numFmtId="167" fontId="0" fillId="12" borderId="41" xfId="0" applyNumberFormat="1" applyFill="1" applyBorder="1" applyAlignment="1">
      <alignment horizontal="center" vertical="center"/>
    </xf>
    <xf numFmtId="0" fontId="8" fillId="0" borderId="25" xfId="0" applyFont="1" applyBorder="1" applyAlignment="1">
      <alignment horizontal="left" vertical="center" wrapText="1"/>
    </xf>
    <xf numFmtId="0" fontId="8" fillId="11" borderId="27" xfId="0" applyFont="1" applyFill="1" applyBorder="1" applyAlignment="1">
      <alignment horizontal="center" vertical="center"/>
    </xf>
    <xf numFmtId="166" fontId="8" fillId="11" borderId="27" xfId="0" applyNumberFormat="1" applyFont="1" applyFill="1" applyBorder="1" applyAlignment="1">
      <alignment horizontal="center" vertical="center" wrapText="1"/>
    </xf>
    <xf numFmtId="166" fontId="8" fillId="8" borderId="27" xfId="0" applyNumberFormat="1" applyFont="1" applyFill="1" applyBorder="1" applyAlignment="1">
      <alignment horizontal="center" vertical="center" wrapText="1"/>
    </xf>
    <xf numFmtId="2" fontId="8" fillId="12" borderId="27" xfId="0" applyNumberFormat="1" applyFont="1" applyFill="1" applyBorder="1" applyAlignment="1">
      <alignment horizontal="center" vertical="center"/>
    </xf>
    <xf numFmtId="0" fontId="20" fillId="11" borderId="27" xfId="0" applyFont="1" applyFill="1" applyBorder="1" applyAlignment="1">
      <alignment horizontal="center" vertical="center"/>
    </xf>
    <xf numFmtId="0" fontId="8" fillId="8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0" fontId="21" fillId="8" borderId="27" xfId="0" applyFont="1" applyFill="1" applyBorder="1" applyAlignment="1">
      <alignment horizontal="center" vertical="center"/>
    </xf>
    <xf numFmtId="0" fontId="0" fillId="0" borderId="29" xfId="0" applyBorder="1" applyAlignment="1">
      <alignment horizontal="left" vertical="center" wrapText="1"/>
    </xf>
    <xf numFmtId="0" fontId="0" fillId="11" borderId="31" xfId="0" applyFill="1" applyBorder="1" applyAlignment="1">
      <alignment horizontal="center" vertical="center"/>
    </xf>
    <xf numFmtId="166" fontId="0" fillId="11" borderId="31" xfId="0" applyNumberFormat="1" applyFill="1" applyBorder="1" applyAlignment="1">
      <alignment horizontal="center" vertical="center" wrapText="1"/>
    </xf>
    <xf numFmtId="0" fontId="0" fillId="8" borderId="31" xfId="0" applyFill="1" applyBorder="1" applyAlignment="1">
      <alignment horizontal="center" vertical="center"/>
    </xf>
    <xf numFmtId="166" fontId="0" fillId="8" borderId="31" xfId="0" applyNumberFormat="1" applyFill="1" applyBorder="1" applyAlignment="1">
      <alignment horizontal="center" vertical="center" wrapText="1"/>
    </xf>
    <xf numFmtId="0" fontId="0" fillId="12" borderId="31" xfId="0" applyFill="1" applyBorder="1" applyAlignment="1">
      <alignment horizontal="center" vertical="center"/>
    </xf>
    <xf numFmtId="167" fontId="0" fillId="12" borderId="36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11" borderId="27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11" borderId="27" xfId="0" applyFill="1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0" fillId="12" borderId="36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0" xfId="0" applyBorder="1"/>
    <xf numFmtId="0" fontId="0" fillId="0" borderId="42" xfId="0" applyBorder="1"/>
    <xf numFmtId="166" fontId="0" fillId="0" borderId="0" xfId="0" applyNumberFormat="1"/>
    <xf numFmtId="0" fontId="8" fillId="0" borderId="50" xfId="0" applyFont="1" applyBorder="1" applyAlignment="1">
      <alignment horizontal="center"/>
    </xf>
    <xf numFmtId="0" fontId="0" fillId="0" borderId="43" xfId="0" applyBorder="1"/>
    <xf numFmtId="44" fontId="0" fillId="0" borderId="41" xfId="0" applyNumberFormat="1" applyBorder="1"/>
    <xf numFmtId="44" fontId="0" fillId="0" borderId="25" xfId="0" applyNumberFormat="1" applyBorder="1"/>
    <xf numFmtId="44" fontId="0" fillId="0" borderId="26" xfId="0" applyNumberFormat="1" applyBorder="1"/>
    <xf numFmtId="44" fontId="0" fillId="0" borderId="29" xfId="0" applyNumberFormat="1" applyBorder="1"/>
    <xf numFmtId="44" fontId="0" fillId="0" borderId="31" xfId="0" applyNumberFormat="1" applyBorder="1"/>
    <xf numFmtId="44" fontId="0" fillId="0" borderId="30" xfId="0" applyNumberFormat="1" applyBorder="1"/>
    <xf numFmtId="44" fontId="0" fillId="0" borderId="21" xfId="0" applyNumberFormat="1" applyBorder="1"/>
    <xf numFmtId="44" fontId="0" fillId="0" borderId="23" xfId="0" applyNumberFormat="1" applyBorder="1"/>
    <xf numFmtId="44" fontId="0" fillId="0" borderId="22" xfId="0" applyNumberFormat="1" applyBorder="1"/>
    <xf numFmtId="44" fontId="6" fillId="8" borderId="45" xfId="2" applyNumberFormat="1" applyFont="1" applyFill="1" applyBorder="1" applyAlignment="1" applyProtection="1">
      <alignment horizontal="center" vertical="center" wrapText="1"/>
    </xf>
    <xf numFmtId="166" fontId="15" fillId="8" borderId="45" xfId="2" applyNumberFormat="1" applyFont="1" applyFill="1" applyBorder="1" applyAlignment="1" applyProtection="1">
      <alignment horizontal="center" vertical="center" wrapText="1"/>
    </xf>
    <xf numFmtId="2" fontId="0" fillId="0" borderId="28" xfId="0" applyNumberFormat="1" applyBorder="1"/>
    <xf numFmtId="44" fontId="0" fillId="0" borderId="39" xfId="0" applyNumberFormat="1" applyBorder="1"/>
    <xf numFmtId="2" fontId="0" fillId="0" borderId="25" xfId="0" applyNumberFormat="1" applyBorder="1"/>
    <xf numFmtId="0" fontId="0" fillId="0" borderId="28" xfId="0" applyBorder="1"/>
    <xf numFmtId="0" fontId="0" fillId="10" borderId="25" xfId="0" applyFill="1" applyBorder="1" applyProtection="1">
      <protection locked="0"/>
    </xf>
    <xf numFmtId="44" fontId="0" fillId="0" borderId="36" xfId="0" applyNumberFormat="1" applyBorder="1"/>
    <xf numFmtId="0" fontId="0" fillId="0" borderId="25" xfId="0" applyBorder="1"/>
    <xf numFmtId="0" fontId="0" fillId="0" borderId="29" xfId="0" applyBorder="1"/>
    <xf numFmtId="0" fontId="0" fillId="10" borderId="41" xfId="0" applyFill="1" applyBorder="1" applyProtection="1">
      <protection locked="0"/>
    </xf>
    <xf numFmtId="0" fontId="0" fillId="10" borderId="21" xfId="0" applyFill="1" applyBorder="1" applyProtection="1">
      <protection locked="0"/>
    </xf>
    <xf numFmtId="0" fontId="0" fillId="10" borderId="39" xfId="0" applyFill="1" applyBorder="1" applyProtection="1">
      <protection locked="0"/>
    </xf>
    <xf numFmtId="0" fontId="0" fillId="0" borderId="24" xfId="0" applyBorder="1"/>
    <xf numFmtId="0" fontId="0" fillId="0" borderId="64" xfId="0" applyBorder="1"/>
    <xf numFmtId="0" fontId="0" fillId="0" borderId="7" xfId="0" applyBorder="1"/>
    <xf numFmtId="0" fontId="0" fillId="0" borderId="13" xfId="0" applyBorder="1"/>
    <xf numFmtId="166" fontId="15" fillId="8" borderId="27" xfId="2" applyNumberFormat="1" applyFont="1" applyFill="1" applyBorder="1" applyAlignment="1" applyProtection="1">
      <alignment horizontal="center" vertical="center" wrapText="1"/>
    </xf>
    <xf numFmtId="44" fontId="6" fillId="8" borderId="27" xfId="2" applyNumberFormat="1" applyFont="1" applyFill="1" applyBorder="1" applyAlignment="1" applyProtection="1">
      <alignment vertical="center" wrapText="1"/>
    </xf>
    <xf numFmtId="166" fontId="6" fillId="8" borderId="27" xfId="2" applyNumberFormat="1" applyFont="1" applyFill="1" applyBorder="1" applyAlignment="1" applyProtection="1">
      <alignment horizontal="center" vertical="center" wrapText="1"/>
    </xf>
    <xf numFmtId="168" fontId="28" fillId="0" borderId="27" xfId="0" applyNumberFormat="1" applyFont="1" applyBorder="1"/>
    <xf numFmtId="44" fontId="6" fillId="8" borderId="41" xfId="2" applyNumberFormat="1" applyFont="1" applyFill="1" applyBorder="1" applyAlignment="1" applyProtection="1">
      <alignment vertical="center" wrapText="1"/>
    </xf>
    <xf numFmtId="0" fontId="0" fillId="0" borderId="32" xfId="0" applyBorder="1"/>
    <xf numFmtId="44" fontId="6" fillId="8" borderId="26" xfId="2" applyNumberFormat="1" applyFont="1" applyFill="1" applyBorder="1" applyAlignment="1" applyProtection="1">
      <alignment vertical="center" wrapText="1"/>
    </xf>
    <xf numFmtId="44" fontId="6" fillId="8" borderId="58" xfId="2" applyNumberFormat="1" applyFont="1" applyFill="1" applyBorder="1" applyAlignment="1" applyProtection="1">
      <alignment vertical="center" wrapText="1"/>
    </xf>
    <xf numFmtId="166" fontId="15" fillId="8" borderId="56" xfId="2" applyNumberFormat="1" applyFont="1" applyFill="1" applyBorder="1" applyAlignment="1" applyProtection="1">
      <alignment horizontal="center" vertical="center" wrapText="1"/>
    </xf>
    <xf numFmtId="2" fontId="0" fillId="0" borderId="53" xfId="0" applyNumberFormat="1" applyBorder="1"/>
    <xf numFmtId="44" fontId="0" fillId="0" borderId="44" xfId="0" applyNumberFormat="1" applyBorder="1"/>
    <xf numFmtId="44" fontId="0" fillId="0" borderId="54" xfId="0" applyNumberFormat="1" applyBorder="1"/>
    <xf numFmtId="44" fontId="0" fillId="0" borderId="65" xfId="0" applyNumberFormat="1" applyBorder="1"/>
    <xf numFmtId="0" fontId="0" fillId="10" borderId="57" xfId="0" applyFill="1" applyBorder="1" applyProtection="1">
      <protection locked="0"/>
    </xf>
    <xf numFmtId="0" fontId="0" fillId="10" borderId="58" xfId="0" applyFill="1" applyBorder="1" applyProtection="1">
      <protection locked="0"/>
    </xf>
    <xf numFmtId="0" fontId="0" fillId="0" borderId="10" xfId="0" applyBorder="1"/>
    <xf numFmtId="0" fontId="0" fillId="0" borderId="3" xfId="0" applyBorder="1"/>
    <xf numFmtId="166" fontId="15" fillId="8" borderId="58" xfId="2" applyNumberFormat="1" applyFont="1" applyFill="1" applyBorder="1" applyAlignment="1" applyProtection="1">
      <alignment horizontal="center" vertical="center" wrapText="1"/>
    </xf>
    <xf numFmtId="0" fontId="0" fillId="0" borderId="53" xfId="0" applyBorder="1"/>
    <xf numFmtId="168" fontId="28" fillId="0" borderId="44" xfId="0" applyNumberFormat="1" applyFont="1" applyBorder="1"/>
    <xf numFmtId="168" fontId="28" fillId="0" borderId="31" xfId="0" applyNumberFormat="1" applyFont="1" applyBorder="1"/>
    <xf numFmtId="2" fontId="0" fillId="0" borderId="66" xfId="0" applyNumberFormat="1" applyBorder="1"/>
    <xf numFmtId="2" fontId="0" fillId="0" borderId="32" xfId="0" applyNumberFormat="1" applyBorder="1"/>
    <xf numFmtId="2" fontId="0" fillId="0" borderId="29" xfId="0" applyNumberFormat="1" applyBorder="1"/>
    <xf numFmtId="0" fontId="0" fillId="3" borderId="27" xfId="0" applyFill="1" applyBorder="1" applyAlignment="1">
      <alignment horizontal="center" vertical="center"/>
    </xf>
    <xf numFmtId="166" fontId="16" fillId="3" borderId="27" xfId="2" applyNumberFormat="1" applyFont="1" applyFill="1" applyBorder="1" applyAlignment="1">
      <alignment vertical="center" wrapText="1"/>
    </xf>
    <xf numFmtId="166" fontId="16" fillId="3" borderId="27" xfId="2" applyNumberFormat="1" applyFont="1" applyFill="1" applyBorder="1" applyAlignment="1" applyProtection="1">
      <alignment horizontal="left" vertical="center" wrapText="1"/>
    </xf>
    <xf numFmtId="166" fontId="16" fillId="3" borderId="27" xfId="2" applyNumberFormat="1" applyFont="1" applyFill="1" applyBorder="1" applyAlignment="1" applyProtection="1">
      <alignment vertical="center" wrapText="1"/>
    </xf>
    <xf numFmtId="0" fontId="5" fillId="3" borderId="27" xfId="0" applyFont="1" applyFill="1" applyBorder="1" applyAlignment="1">
      <alignment horizontal="left" vertical="top" wrapText="1"/>
    </xf>
    <xf numFmtId="166" fontId="17" fillId="3" borderId="27" xfId="2" applyNumberFormat="1" applyFont="1" applyFill="1" applyBorder="1" applyAlignment="1" applyProtection="1">
      <alignment horizontal="center" vertical="center" wrapText="1"/>
    </xf>
    <xf numFmtId="44" fontId="17" fillId="3" borderId="27" xfId="2" applyNumberFormat="1" applyFont="1" applyFill="1" applyBorder="1" applyAlignment="1" applyProtection="1">
      <alignment horizontal="center" vertical="center" wrapText="1"/>
    </xf>
    <xf numFmtId="0" fontId="0" fillId="3" borderId="27" xfId="0" applyFill="1" applyBorder="1" applyAlignment="1">
      <alignment horizontal="center"/>
    </xf>
    <xf numFmtId="44" fontId="0" fillId="3" borderId="27" xfId="0" applyNumberFormat="1" applyFill="1" applyBorder="1" applyAlignment="1">
      <alignment horizontal="center" vertical="center"/>
    </xf>
    <xf numFmtId="166" fontId="14" fillId="3" borderId="27" xfId="2" applyNumberFormat="1" applyFont="1" applyFill="1" applyBorder="1" applyAlignment="1" applyProtection="1">
      <alignment horizontal="center" vertical="center" wrapText="1"/>
    </xf>
    <xf numFmtId="44" fontId="14" fillId="3" borderId="27" xfId="2" applyNumberFormat="1" applyFont="1" applyFill="1" applyBorder="1" applyAlignment="1" applyProtection="1">
      <alignment horizontal="center" vertical="center" wrapText="1"/>
    </xf>
    <xf numFmtId="2" fontId="14" fillId="0" borderId="0" xfId="2" applyNumberFormat="1" applyFont="1" applyFill="1" applyBorder="1" applyAlignment="1" applyProtection="1">
      <alignment horizontal="center" vertical="center" wrapText="1"/>
    </xf>
    <xf numFmtId="2" fontId="6" fillId="8" borderId="27" xfId="2" applyNumberFormat="1" applyFont="1" applyFill="1" applyBorder="1" applyAlignment="1" applyProtection="1">
      <alignment horizontal="center" vertical="center" wrapText="1"/>
    </xf>
    <xf numFmtId="2" fontId="17" fillId="0" borderId="27" xfId="2" applyNumberFormat="1" applyFont="1" applyFill="1" applyBorder="1" applyAlignment="1" applyProtection="1">
      <alignment horizontal="center" vertical="center" wrapText="1"/>
    </xf>
    <xf numFmtId="2" fontId="15" fillId="8" borderId="27" xfId="2" applyNumberFormat="1" applyFont="1" applyFill="1" applyBorder="1" applyAlignment="1" applyProtection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17" fillId="3" borderId="27" xfId="2" applyNumberFormat="1" applyFont="1" applyFill="1" applyBorder="1" applyAlignment="1" applyProtection="1">
      <alignment horizontal="center" vertical="center" wrapText="1"/>
    </xf>
    <xf numFmtId="49" fontId="30" fillId="0" borderId="6" xfId="0" applyNumberFormat="1" applyFont="1" applyBorder="1" applyAlignment="1">
      <alignment horizontal="center"/>
    </xf>
    <xf numFmtId="0" fontId="27" fillId="0" borderId="25" xfId="0" applyFont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/>
    </xf>
    <xf numFmtId="4" fontId="26" fillId="0" borderId="27" xfId="0" applyNumberFormat="1" applyFont="1" applyBorder="1" applyAlignment="1">
      <alignment horizontal="center" vertical="center"/>
    </xf>
    <xf numFmtId="4" fontId="26" fillId="0" borderId="26" xfId="0" applyNumberFormat="1" applyFont="1" applyBorder="1" applyAlignment="1">
      <alignment horizontal="center" vertical="center"/>
    </xf>
    <xf numFmtId="4" fontId="26" fillId="0" borderId="28" xfId="0" applyNumberFormat="1" applyFont="1" applyBorder="1" applyAlignment="1">
      <alignment horizontal="center" vertical="center"/>
    </xf>
    <xf numFmtId="4" fontId="26" fillId="0" borderId="41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left" indent="4"/>
    </xf>
    <xf numFmtId="4" fontId="32" fillId="0" borderId="27" xfId="0" applyNumberFormat="1" applyFont="1" applyBorder="1" applyAlignment="1">
      <alignment horizontal="center" vertical="center"/>
    </xf>
    <xf numFmtId="4" fontId="33" fillId="0" borderId="27" xfId="0" applyNumberFormat="1" applyFont="1" applyBorder="1" applyAlignment="1">
      <alignment horizontal="center" vertical="center"/>
    </xf>
    <xf numFmtId="4" fontId="33" fillId="0" borderId="26" xfId="0" applyNumberFormat="1" applyFont="1" applyBorder="1" applyAlignment="1">
      <alignment horizontal="center" vertical="center"/>
    </xf>
    <xf numFmtId="4" fontId="33" fillId="0" borderId="28" xfId="0" applyNumberFormat="1" applyFont="1" applyBorder="1" applyAlignment="1">
      <alignment horizontal="center" vertical="center"/>
    </xf>
    <xf numFmtId="4" fontId="27" fillId="0" borderId="0" xfId="0" applyNumberFormat="1" applyFont="1" applyAlignment="1">
      <alignment horizontal="center" vertical="center"/>
    </xf>
    <xf numFmtId="0" fontId="0" fillId="0" borderId="8" xfId="0" applyBorder="1"/>
    <xf numFmtId="0" fontId="26" fillId="3" borderId="21" xfId="0" applyFont="1" applyFill="1" applyBorder="1" applyAlignment="1">
      <alignment horizontal="center" vertical="center"/>
    </xf>
    <xf numFmtId="4" fontId="31" fillId="3" borderId="23" xfId="0" applyNumberFormat="1" applyFont="1" applyFill="1" applyBorder="1" applyAlignment="1">
      <alignment horizontal="center" vertical="center"/>
    </xf>
    <xf numFmtId="4" fontId="26" fillId="3" borderId="23" xfId="0" applyNumberFormat="1" applyFont="1" applyFill="1" applyBorder="1" applyAlignment="1">
      <alignment horizontal="center" vertical="center"/>
    </xf>
    <xf numFmtId="4" fontId="26" fillId="3" borderId="22" xfId="0" applyNumberFormat="1" applyFont="1" applyFill="1" applyBorder="1" applyAlignment="1">
      <alignment horizontal="center" vertical="center"/>
    </xf>
    <xf numFmtId="4" fontId="26" fillId="4" borderId="24" xfId="0" applyNumberFormat="1" applyFont="1" applyFill="1" applyBorder="1" applyAlignment="1">
      <alignment horizontal="center" vertical="center"/>
    </xf>
    <xf numFmtId="4" fontId="31" fillId="4" borderId="23" xfId="0" applyNumberFormat="1" applyFont="1" applyFill="1" applyBorder="1" applyAlignment="1">
      <alignment horizontal="center" vertical="center"/>
    </xf>
    <xf numFmtId="4" fontId="26" fillId="4" borderId="23" xfId="0" applyNumberFormat="1" applyFont="1" applyFill="1" applyBorder="1" applyAlignment="1">
      <alignment horizontal="center" vertical="center"/>
    </xf>
    <xf numFmtId="4" fontId="26" fillId="4" borderId="22" xfId="0" applyNumberFormat="1" applyFont="1" applyFill="1" applyBorder="1" applyAlignment="1">
      <alignment horizontal="center" vertical="center"/>
    </xf>
    <xf numFmtId="4" fontId="26" fillId="4" borderId="26" xfId="0" applyNumberFormat="1" applyFont="1" applyFill="1" applyBorder="1" applyAlignment="1">
      <alignment horizontal="center" vertical="center"/>
    </xf>
    <xf numFmtId="4" fontId="26" fillId="4" borderId="39" xfId="0" applyNumberFormat="1" applyFont="1" applyFill="1" applyBorder="1" applyAlignment="1">
      <alignment horizontal="center" vertical="center"/>
    </xf>
    <xf numFmtId="4" fontId="26" fillId="7" borderId="53" xfId="0" applyNumberFormat="1" applyFont="1" applyFill="1" applyBorder="1" applyAlignment="1" applyProtection="1">
      <alignment horizontal="center" vertical="center"/>
      <protection locked="0"/>
    </xf>
    <xf numFmtId="4" fontId="31" fillId="7" borderId="44" xfId="0" applyNumberFormat="1" applyFont="1" applyFill="1" applyBorder="1" applyAlignment="1" applyProtection="1">
      <alignment horizontal="center" vertical="center"/>
      <protection locked="0"/>
    </xf>
    <xf numFmtId="4" fontId="26" fillId="7" borderId="54" xfId="0" applyNumberFormat="1" applyFont="1" applyFill="1" applyBorder="1" applyAlignment="1" applyProtection="1">
      <alignment horizontal="center" vertical="center"/>
      <protection locked="0"/>
    </xf>
    <xf numFmtId="4" fontId="26" fillId="7" borderId="67" xfId="0" applyNumberFormat="1" applyFont="1" applyFill="1" applyBorder="1" applyAlignment="1">
      <alignment horizontal="center" vertical="center"/>
    </xf>
    <xf numFmtId="4" fontId="26" fillId="7" borderId="67" xfId="0" applyNumberFormat="1" applyFont="1" applyFill="1" applyBorder="1" applyAlignment="1" applyProtection="1">
      <alignment horizontal="center" vertical="center"/>
      <protection locked="0"/>
    </xf>
    <xf numFmtId="0" fontId="26" fillId="3" borderId="25" xfId="0" applyFont="1" applyFill="1" applyBorder="1" applyAlignment="1">
      <alignment horizontal="center" vertical="center"/>
    </xf>
    <xf numFmtId="4" fontId="31" fillId="3" borderId="27" xfId="0" applyNumberFormat="1" applyFont="1" applyFill="1" applyBorder="1" applyAlignment="1">
      <alignment horizontal="center" vertical="center"/>
    </xf>
    <xf numFmtId="4" fontId="26" fillId="3" borderId="27" xfId="0" applyNumberFormat="1" applyFont="1" applyFill="1" applyBorder="1" applyAlignment="1">
      <alignment horizontal="center" vertical="center"/>
    </xf>
    <xf numFmtId="4" fontId="26" fillId="3" borderId="26" xfId="0" applyNumberFormat="1" applyFont="1" applyFill="1" applyBorder="1" applyAlignment="1">
      <alignment horizontal="center" vertical="center"/>
    </xf>
    <xf numFmtId="4" fontId="26" fillId="4" borderId="28" xfId="0" applyNumberFormat="1" applyFont="1" applyFill="1" applyBorder="1" applyAlignment="1">
      <alignment horizontal="center" vertical="center"/>
    </xf>
    <xf numFmtId="4" fontId="31" fillId="4" borderId="27" xfId="0" applyNumberFormat="1" applyFont="1" applyFill="1" applyBorder="1" applyAlignment="1">
      <alignment horizontal="center" vertical="center"/>
    </xf>
    <xf numFmtId="4" fontId="26" fillId="4" borderId="27" xfId="0" applyNumberFormat="1" applyFont="1" applyFill="1" applyBorder="1" applyAlignment="1">
      <alignment horizontal="center" vertical="center"/>
    </xf>
    <xf numFmtId="4" fontId="26" fillId="4" borderId="41" xfId="0" applyNumberFormat="1" applyFont="1" applyFill="1" applyBorder="1" applyAlignment="1">
      <alignment horizontal="center" vertical="center"/>
    </xf>
    <xf numFmtId="4" fontId="26" fillId="7" borderId="25" xfId="0" applyNumberFormat="1" applyFont="1" applyFill="1" applyBorder="1" applyAlignment="1" applyProtection="1">
      <alignment horizontal="center" vertical="center"/>
      <protection locked="0"/>
    </xf>
    <xf numFmtId="4" fontId="31" fillId="7" borderId="27" xfId="0" applyNumberFormat="1" applyFont="1" applyFill="1" applyBorder="1" applyAlignment="1" applyProtection="1">
      <alignment horizontal="center" vertical="center"/>
      <protection locked="0"/>
    </xf>
    <xf numFmtId="4" fontId="26" fillId="7" borderId="26" xfId="0" applyNumberFormat="1" applyFont="1" applyFill="1" applyBorder="1" applyAlignment="1" applyProtection="1">
      <alignment horizontal="center" vertical="center"/>
      <protection locked="0"/>
    </xf>
    <xf numFmtId="4" fontId="26" fillId="7" borderId="42" xfId="0" applyNumberFormat="1" applyFont="1" applyFill="1" applyBorder="1" applyAlignment="1">
      <alignment horizontal="center" vertical="center"/>
    </xf>
    <xf numFmtId="4" fontId="26" fillId="7" borderId="42" xfId="0" applyNumberFormat="1" applyFont="1" applyFill="1" applyBorder="1" applyAlignment="1" applyProtection="1">
      <alignment horizontal="center" vertical="center"/>
      <protection locked="0"/>
    </xf>
    <xf numFmtId="4" fontId="26" fillId="7" borderId="26" xfId="0" applyNumberFormat="1" applyFont="1" applyFill="1" applyBorder="1" applyAlignment="1">
      <alignment horizontal="center" vertical="center"/>
    </xf>
    <xf numFmtId="4" fontId="33" fillId="0" borderId="41" xfId="0" applyNumberFormat="1" applyFont="1" applyBorder="1" applyAlignment="1">
      <alignment horizontal="center" vertical="center"/>
    </xf>
    <xf numFmtId="4" fontId="33" fillId="0" borderId="25" xfId="0" applyNumberFormat="1" applyFont="1" applyBorder="1" applyAlignment="1" applyProtection="1">
      <alignment horizontal="center" vertical="center"/>
      <protection locked="0"/>
    </xf>
    <xf numFmtId="4" fontId="32" fillId="0" borderId="27" xfId="0" applyNumberFormat="1" applyFont="1" applyBorder="1" applyAlignment="1" applyProtection="1">
      <alignment horizontal="center" vertical="center"/>
      <protection locked="0"/>
    </xf>
    <xf numFmtId="4" fontId="33" fillId="0" borderId="42" xfId="0" applyNumberFormat="1" applyFont="1" applyBorder="1" applyAlignment="1">
      <alignment horizontal="center" vertical="center"/>
    </xf>
    <xf numFmtId="4" fontId="33" fillId="0" borderId="42" xfId="0" applyNumberFormat="1" applyFont="1" applyBorder="1" applyAlignment="1" applyProtection="1">
      <alignment horizontal="center" vertical="center"/>
      <protection locked="0"/>
    </xf>
    <xf numFmtId="4" fontId="26" fillId="0" borderId="25" xfId="0" applyNumberFormat="1" applyFont="1" applyBorder="1" applyAlignment="1" applyProtection="1">
      <alignment horizontal="center" vertical="center"/>
      <protection locked="0"/>
    </xf>
    <xf numFmtId="4" fontId="31" fillId="0" borderId="27" xfId="0" applyNumberFormat="1" applyFont="1" applyBorder="1" applyAlignment="1" applyProtection="1">
      <alignment horizontal="center" vertical="center"/>
      <protection locked="0"/>
    </xf>
    <xf numFmtId="4" fontId="26" fillId="0" borderId="42" xfId="0" applyNumberFormat="1" applyFont="1" applyBorder="1" applyAlignment="1">
      <alignment horizontal="center" vertical="center"/>
    </xf>
    <xf numFmtId="4" fontId="26" fillId="0" borderId="42" xfId="0" applyNumberFormat="1" applyFont="1" applyBorder="1" applyAlignment="1" applyProtection="1">
      <alignment horizontal="center" vertical="center"/>
      <protection locked="0"/>
    </xf>
    <xf numFmtId="4" fontId="26" fillId="7" borderId="27" xfId="0" applyNumberFormat="1" applyFont="1" applyFill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 vertical="center" wrapText="1"/>
    </xf>
    <xf numFmtId="4" fontId="32" fillId="5" borderId="27" xfId="0" applyNumberFormat="1" applyFont="1" applyFill="1" applyBorder="1" applyAlignment="1">
      <alignment horizontal="center" vertical="center"/>
    </xf>
    <xf numFmtId="4" fontId="32" fillId="5" borderId="27" xfId="0" applyNumberFormat="1" applyFont="1" applyFill="1" applyBorder="1" applyAlignment="1" applyProtection="1">
      <alignment horizontal="center" vertical="center"/>
      <protection locked="0"/>
    </xf>
    <xf numFmtId="166" fontId="29" fillId="5" borderId="25" xfId="2" applyNumberFormat="1" applyFont="1" applyFill="1" applyBorder="1" applyAlignment="1">
      <alignment horizontal="center" vertical="center" wrapText="1"/>
    </xf>
    <xf numFmtId="0" fontId="35" fillId="6" borderId="29" xfId="0" applyFont="1" applyFill="1" applyBorder="1" applyAlignment="1">
      <alignment horizontal="center" vertical="center"/>
    </xf>
    <xf numFmtId="4" fontId="31" fillId="6" borderId="31" xfId="0" applyNumberFormat="1" applyFont="1" applyFill="1" applyBorder="1" applyAlignment="1">
      <alignment horizontal="center" vertical="center"/>
    </xf>
    <xf numFmtId="4" fontId="26" fillId="6" borderId="31" xfId="0" applyNumberFormat="1" applyFont="1" applyFill="1" applyBorder="1" applyAlignment="1">
      <alignment horizontal="center" vertical="center"/>
    </xf>
    <xf numFmtId="4" fontId="26" fillId="6" borderId="30" xfId="0" applyNumberFormat="1" applyFont="1" applyFill="1" applyBorder="1" applyAlignment="1">
      <alignment horizontal="center" vertical="center"/>
    </xf>
    <xf numFmtId="4" fontId="26" fillId="6" borderId="32" xfId="0" applyNumberFormat="1" applyFont="1" applyFill="1" applyBorder="1" applyAlignment="1">
      <alignment horizontal="center" vertical="center"/>
    </xf>
    <xf numFmtId="4" fontId="26" fillId="6" borderId="36" xfId="0" applyNumberFormat="1" applyFont="1" applyFill="1" applyBorder="1" applyAlignment="1">
      <alignment horizontal="center" vertical="center"/>
    </xf>
    <xf numFmtId="4" fontId="26" fillId="6" borderId="29" xfId="0" applyNumberFormat="1" applyFont="1" applyFill="1" applyBorder="1" applyAlignment="1" applyProtection="1">
      <alignment horizontal="center" vertical="center"/>
      <protection locked="0"/>
    </xf>
    <xf numFmtId="4" fontId="26" fillId="6" borderId="43" xfId="0" applyNumberFormat="1" applyFont="1" applyFill="1" applyBorder="1" applyAlignment="1">
      <alignment horizontal="center" vertical="center"/>
    </xf>
    <xf numFmtId="4" fontId="26" fillId="6" borderId="43" xfId="0" applyNumberFormat="1" applyFont="1" applyFill="1" applyBorder="1" applyAlignment="1" applyProtection="1">
      <alignment horizontal="center" vertical="center"/>
      <protection locked="0"/>
    </xf>
    <xf numFmtId="2" fontId="28" fillId="0" borderId="54" xfId="0" applyNumberFormat="1" applyFont="1" applyBorder="1"/>
    <xf numFmtId="2" fontId="28" fillId="0" borderId="26" xfId="0" applyNumberFormat="1" applyFont="1" applyBorder="1"/>
    <xf numFmtId="2" fontId="28" fillId="0" borderId="30" xfId="0" applyNumberFormat="1" applyFont="1" applyBorder="1"/>
    <xf numFmtId="167" fontId="27" fillId="7" borderId="27" xfId="0" applyNumberFormat="1" applyFont="1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2" fontId="0" fillId="7" borderId="27" xfId="0" applyNumberFormat="1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2" fontId="0" fillId="13" borderId="39" xfId="0" applyNumberFormat="1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 wrapText="1"/>
    </xf>
    <xf numFmtId="167" fontId="8" fillId="13" borderId="27" xfId="0" applyNumberFormat="1" applyFont="1" applyFill="1" applyBorder="1" applyAlignment="1">
      <alignment horizontal="center" vertical="center"/>
    </xf>
    <xf numFmtId="167" fontId="8" fillId="13" borderId="41" xfId="0" applyNumberFormat="1" applyFont="1" applyFill="1" applyBorder="1" applyAlignment="1">
      <alignment horizontal="center" vertical="center"/>
    </xf>
    <xf numFmtId="167" fontId="0" fillId="13" borderId="41" xfId="0" applyNumberFormat="1" applyFill="1" applyBorder="1" applyAlignment="1">
      <alignment horizontal="center" vertical="center"/>
    </xf>
    <xf numFmtId="2" fontId="8" fillId="13" borderId="27" xfId="0" applyNumberFormat="1" applyFont="1" applyFill="1" applyBorder="1" applyAlignment="1">
      <alignment horizontal="center" vertical="center"/>
    </xf>
    <xf numFmtId="0" fontId="8" fillId="13" borderId="27" xfId="0" applyFont="1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2" fontId="0" fillId="7" borderId="39" xfId="0" applyNumberFormat="1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 wrapText="1"/>
    </xf>
    <xf numFmtId="167" fontId="8" fillId="7" borderId="41" xfId="0" applyNumberFormat="1" applyFont="1" applyFill="1" applyBorder="1" applyAlignment="1">
      <alignment horizontal="center" vertical="center"/>
    </xf>
    <xf numFmtId="167" fontId="0" fillId="7" borderId="41" xfId="0" applyNumberFormat="1" applyFill="1" applyBorder="1" applyAlignment="1">
      <alignment horizontal="center" vertical="center"/>
    </xf>
    <xf numFmtId="2" fontId="27" fillId="7" borderId="27" xfId="0" applyNumberFormat="1" applyFont="1" applyFill="1" applyBorder="1" applyAlignment="1">
      <alignment horizontal="center" vertical="center"/>
    </xf>
    <xf numFmtId="2" fontId="8" fillId="7" borderId="27" xfId="0" applyNumberFormat="1" applyFont="1" applyFill="1" applyBorder="1" applyAlignment="1">
      <alignment horizontal="center" vertical="center"/>
    </xf>
    <xf numFmtId="0" fontId="8" fillId="7" borderId="27" xfId="0" applyFont="1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6" fontId="18" fillId="8" borderId="2" xfId="2" applyNumberFormat="1" applyFont="1" applyFill="1" applyBorder="1" applyAlignment="1" applyProtection="1">
      <alignment horizontal="center" vertical="center" wrapText="1"/>
    </xf>
    <xf numFmtId="166" fontId="18" fillId="8" borderId="4" xfId="2" applyNumberFormat="1" applyFont="1" applyFill="1" applyBorder="1" applyAlignment="1" applyProtection="1">
      <alignment horizontal="center" vertical="center" wrapText="1"/>
    </xf>
    <xf numFmtId="166" fontId="6" fillId="8" borderId="28" xfId="2" applyNumberFormat="1" applyFont="1" applyFill="1" applyBorder="1" applyAlignment="1" applyProtection="1">
      <alignment horizontal="center" vertical="center" wrapText="1"/>
    </xf>
    <xf numFmtId="166" fontId="6" fillId="8" borderId="51" xfId="2" applyNumberFormat="1" applyFont="1" applyFill="1" applyBorder="1" applyAlignment="1" applyProtection="1">
      <alignment horizontal="center" vertical="center" wrapText="1"/>
    </xf>
    <xf numFmtId="166" fontId="15" fillId="8" borderId="27" xfId="2" applyNumberFormat="1" applyFont="1" applyFill="1" applyBorder="1" applyAlignment="1" applyProtection="1">
      <alignment horizontal="center" vertical="center" wrapText="1"/>
    </xf>
    <xf numFmtId="166" fontId="15" fillId="8" borderId="45" xfId="2" applyNumberFormat="1" applyFont="1" applyFill="1" applyBorder="1" applyAlignment="1" applyProtection="1">
      <alignment horizontal="center" vertical="center" wrapText="1"/>
    </xf>
    <xf numFmtId="44" fontId="6" fillId="8" borderId="28" xfId="2" applyNumberFormat="1" applyFont="1" applyFill="1" applyBorder="1" applyAlignment="1" applyProtection="1">
      <alignment horizontal="center" vertical="center" wrapText="1"/>
    </xf>
    <xf numFmtId="44" fontId="6" fillId="8" borderId="51" xfId="2" applyNumberFormat="1" applyFont="1" applyFill="1" applyBorder="1" applyAlignment="1" applyProtection="1">
      <alignment horizontal="center" vertical="center" wrapText="1"/>
    </xf>
    <xf numFmtId="44" fontId="6" fillId="8" borderId="27" xfId="2" applyNumberFormat="1" applyFont="1" applyFill="1" applyBorder="1" applyAlignment="1" applyProtection="1">
      <alignment horizontal="center" vertical="center" wrapText="1"/>
    </xf>
    <xf numFmtId="44" fontId="6" fillId="8" borderId="45" xfId="2" applyNumberFormat="1" applyFont="1" applyFill="1" applyBorder="1" applyAlignment="1" applyProtection="1">
      <alignment horizontal="center" vertical="center" wrapText="1"/>
    </xf>
    <xf numFmtId="44" fontId="6" fillId="8" borderId="25" xfId="2" applyNumberFormat="1" applyFont="1" applyFill="1" applyBorder="1" applyAlignment="1" applyProtection="1">
      <alignment horizontal="center" vertical="center" wrapText="1"/>
    </xf>
    <xf numFmtId="44" fontId="6" fillId="8" borderId="57" xfId="2" applyNumberFormat="1" applyFont="1" applyFill="1" applyBorder="1" applyAlignment="1" applyProtection="1">
      <alignment horizontal="center" vertical="center" wrapText="1"/>
    </xf>
    <xf numFmtId="166" fontId="15" fillId="8" borderId="60" xfId="2" applyNumberFormat="1" applyFont="1" applyFill="1" applyBorder="1" applyAlignment="1" applyProtection="1">
      <alignment horizontal="center" vertical="center" wrapText="1"/>
    </xf>
    <xf numFmtId="166" fontId="15" fillId="8" borderId="55" xfId="2" applyNumberFormat="1" applyFont="1" applyFill="1" applyBorder="1" applyAlignment="1" applyProtection="1">
      <alignment horizontal="center" vertical="center" wrapText="1"/>
    </xf>
    <xf numFmtId="166" fontId="15" fillId="8" borderId="63" xfId="2" applyNumberFormat="1" applyFont="1" applyFill="1" applyBorder="1" applyAlignment="1" applyProtection="1">
      <alignment horizontal="center" vertical="center" wrapText="1"/>
    </xf>
    <xf numFmtId="0" fontId="19" fillId="0" borderId="25" xfId="0" applyFont="1" applyBorder="1" applyAlignment="1">
      <alignment horizontal="center"/>
    </xf>
    <xf numFmtId="0" fontId="19" fillId="0" borderId="41" xfId="0" applyFont="1" applyBorder="1" applyAlignment="1">
      <alignment horizontal="center"/>
    </xf>
    <xf numFmtId="0" fontId="19" fillId="0" borderId="53" xfId="0" applyFont="1" applyBorder="1" applyAlignment="1">
      <alignment horizontal="center"/>
    </xf>
    <xf numFmtId="0" fontId="19" fillId="0" borderId="65" xfId="0" applyFont="1" applyBorder="1" applyAlignment="1">
      <alignment horizontal="center"/>
    </xf>
    <xf numFmtId="44" fontId="18" fillId="8" borderId="66" xfId="2" applyNumberFormat="1" applyFont="1" applyFill="1" applyBorder="1" applyAlignment="1" applyProtection="1">
      <alignment horizontal="center" vertical="center" wrapText="1"/>
    </xf>
    <xf numFmtId="44" fontId="18" fillId="8" borderId="44" xfId="2" applyNumberFormat="1" applyFont="1" applyFill="1" applyBorder="1" applyAlignment="1" applyProtection="1">
      <alignment horizontal="center" vertical="center" wrapText="1"/>
    </xf>
    <xf numFmtId="44" fontId="18" fillId="8" borderId="65" xfId="2" applyNumberFormat="1" applyFont="1" applyFill="1" applyBorder="1" applyAlignment="1" applyProtection="1">
      <alignment horizontal="center" vertical="center" wrapText="1"/>
    </xf>
    <xf numFmtId="166" fontId="15" fillId="8" borderId="52" xfId="2" applyNumberFormat="1" applyFont="1" applyFill="1" applyBorder="1" applyAlignment="1" applyProtection="1">
      <alignment horizontal="center" vertical="center" wrapText="1"/>
    </xf>
    <xf numFmtId="166" fontId="15" fillId="8" borderId="48" xfId="2" applyNumberFormat="1" applyFont="1" applyFill="1" applyBorder="1" applyAlignment="1" applyProtection="1">
      <alignment horizontal="center" vertical="center" wrapText="1"/>
    </xf>
    <xf numFmtId="166" fontId="15" fillId="8" borderId="61" xfId="2" applyNumberFormat="1" applyFont="1" applyFill="1" applyBorder="1" applyAlignment="1" applyProtection="1">
      <alignment horizontal="center" vertical="center" wrapText="1"/>
    </xf>
    <xf numFmtId="166" fontId="15" fillId="8" borderId="59" xfId="2" applyNumberFormat="1" applyFont="1" applyFill="1" applyBorder="1" applyAlignment="1" applyProtection="1">
      <alignment horizontal="center" vertical="center" wrapText="1"/>
    </xf>
    <xf numFmtId="166" fontId="15" fillId="8" borderId="46" xfId="2" applyNumberFormat="1" applyFont="1" applyFill="1" applyBorder="1" applyAlignment="1" applyProtection="1">
      <alignment horizontal="center" vertical="center" wrapText="1"/>
    </xf>
    <xf numFmtId="166" fontId="15" fillId="8" borderId="62" xfId="2" applyNumberFormat="1" applyFont="1" applyFill="1" applyBorder="1" applyAlignment="1" applyProtection="1">
      <alignment horizontal="center" vertical="center" wrapText="1"/>
    </xf>
    <xf numFmtId="166" fontId="6" fillId="8" borderId="1" xfId="2" applyNumberFormat="1" applyFont="1" applyFill="1" applyBorder="1" applyAlignment="1" applyProtection="1">
      <alignment horizontal="center" vertical="center" wrapText="1"/>
    </xf>
    <xf numFmtId="166" fontId="6" fillId="8" borderId="5" xfId="2" applyNumberFormat="1" applyFont="1" applyFill="1" applyBorder="1" applyAlignment="1" applyProtection="1">
      <alignment horizontal="center" vertical="center" wrapText="1"/>
    </xf>
    <xf numFmtId="166" fontId="18" fillId="8" borderId="66" xfId="2" applyNumberFormat="1" applyFont="1" applyFill="1" applyBorder="1" applyAlignment="1" applyProtection="1">
      <alignment horizontal="center" vertical="center" wrapText="1"/>
    </xf>
    <xf numFmtId="166" fontId="18" fillId="8" borderId="44" xfId="2" applyNumberFormat="1" applyFont="1" applyFill="1" applyBorder="1" applyAlignment="1" applyProtection="1">
      <alignment horizontal="center" vertical="center" wrapText="1"/>
    </xf>
    <xf numFmtId="166" fontId="18" fillId="8" borderId="54" xfId="2" applyNumberFormat="1" applyFont="1" applyFill="1" applyBorder="1" applyAlignment="1" applyProtection="1">
      <alignment horizontal="center" vertical="center" wrapText="1"/>
    </xf>
    <xf numFmtId="166" fontId="18" fillId="8" borderId="53" xfId="2" applyNumberFormat="1" applyFont="1" applyFill="1" applyBorder="1" applyAlignment="1" applyProtection="1">
      <alignment horizontal="center" vertical="center" wrapText="1"/>
    </xf>
    <xf numFmtId="0" fontId="19" fillId="0" borderId="29" xfId="0" applyFont="1" applyBorder="1" applyAlignment="1">
      <alignment horizontal="center"/>
    </xf>
    <xf numFmtId="0" fontId="19" fillId="0" borderId="36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44" fontId="14" fillId="8" borderId="27" xfId="2" applyNumberFormat="1" applyFont="1" applyFill="1" applyBorder="1" applyAlignment="1" applyProtection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166" fontId="6" fillId="8" borderId="27" xfId="2" applyNumberFormat="1" applyFont="1" applyFill="1" applyBorder="1" applyAlignment="1" applyProtection="1">
      <alignment horizontal="center" vertical="center" wrapText="1"/>
    </xf>
    <xf numFmtId="44" fontId="6" fillId="8" borderId="41" xfId="2" applyNumberFormat="1" applyFont="1" applyFill="1" applyBorder="1" applyAlignment="1" applyProtection="1">
      <alignment horizontal="center" vertical="center" wrapText="1"/>
    </xf>
    <xf numFmtId="44" fontId="6" fillId="8" borderId="8" xfId="2" applyNumberFormat="1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5" xfId="0" applyNumberFormat="1" applyFont="1" applyFill="1" applyBorder="1" applyAlignment="1" applyProtection="1">
      <alignment horizontal="center" vertical="center" wrapText="1"/>
      <protection locked="0"/>
    </xf>
    <xf numFmtId="49" fontId="26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6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6" fillId="2" borderId="1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4" fontId="3" fillId="2" borderId="9" xfId="0" applyNumberFormat="1" applyFont="1" applyFill="1" applyBorder="1" applyAlignment="1">
      <alignment horizontal="center" vertical="center"/>
    </xf>
    <xf numFmtId="4" fontId="3" fillId="2" borderId="11" xfId="0" applyNumberFormat="1" applyFont="1" applyFill="1" applyBorder="1" applyAlignment="1">
      <alignment horizontal="center" vertical="center"/>
    </xf>
    <xf numFmtId="4" fontId="3" fillId="2" borderId="10" xfId="0" applyNumberFormat="1" applyFont="1" applyFill="1" applyBorder="1" applyAlignment="1">
      <alignment horizontal="center" vertical="center"/>
    </xf>
    <xf numFmtId="4" fontId="3" fillId="2" borderId="32" xfId="0" applyNumberFormat="1" applyFont="1" applyFill="1" applyBorder="1" applyAlignment="1" applyProtection="1">
      <alignment horizontal="center" vertical="center"/>
      <protection locked="0"/>
    </xf>
    <xf numFmtId="4" fontId="3" fillId="2" borderId="31" xfId="0" applyNumberFormat="1" applyFont="1" applyFill="1" applyBorder="1" applyAlignment="1" applyProtection="1">
      <alignment horizontal="center" vertical="center"/>
      <protection locked="0"/>
    </xf>
    <xf numFmtId="4" fontId="3" fillId="2" borderId="36" xfId="0" applyNumberFormat="1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4" fontId="3" fillId="2" borderId="12" xfId="0" applyNumberFormat="1" applyFont="1" applyFill="1" applyBorder="1" applyAlignment="1">
      <alignment horizontal="center" vertical="center"/>
    </xf>
    <xf numFmtId="4" fontId="3" fillId="2" borderId="14" xfId="0" applyNumberFormat="1" applyFont="1" applyFill="1" applyBorder="1" applyAlignment="1">
      <alignment horizontal="center" vertical="center"/>
    </xf>
    <xf numFmtId="4" fontId="3" fillId="2" borderId="13" xfId="0" applyNumberFormat="1" applyFont="1" applyFill="1" applyBorder="1" applyAlignment="1">
      <alignment horizontal="center" vertical="center"/>
    </xf>
    <xf numFmtId="4" fontId="3" fillId="2" borderId="33" xfId="0" applyNumberFormat="1" applyFont="1" applyFill="1" applyBorder="1" applyAlignment="1" applyProtection="1">
      <alignment horizontal="center" vertical="center"/>
      <protection locked="0"/>
    </xf>
    <xf numFmtId="4" fontId="3" fillId="2" borderId="37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2" borderId="6" xfId="1" applyNumberFormat="1" applyFont="1" applyFill="1" applyBorder="1" applyAlignment="1" applyProtection="1">
      <alignment horizontal="center" vertical="center"/>
    </xf>
    <xf numFmtId="0" fontId="4" fillId="2" borderId="8" xfId="1" applyNumberFormat="1" applyFont="1" applyFill="1" applyBorder="1" applyAlignment="1" applyProtection="1">
      <alignment horizontal="center" vertical="center"/>
    </xf>
    <xf numFmtId="0" fontId="4" fillId="2" borderId="7" xfId="1" applyNumberFormat="1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166" fontId="16" fillId="14" borderId="27" xfId="2" applyNumberFormat="1" applyFont="1" applyFill="1" applyBorder="1" applyAlignment="1" applyProtection="1">
      <alignment horizontal="left" vertical="center" wrapText="1"/>
    </xf>
    <xf numFmtId="0" fontId="0" fillId="14" borderId="27" xfId="0" applyFill="1" applyBorder="1" applyAlignment="1">
      <alignment horizontal="center"/>
    </xf>
    <xf numFmtId="44" fontId="0" fillId="14" borderId="27" xfId="0" applyNumberFormat="1" applyFill="1" applyBorder="1" applyAlignment="1">
      <alignment horizontal="center" vertical="center"/>
    </xf>
    <xf numFmtId="44" fontId="17" fillId="14" borderId="27" xfId="2" applyNumberFormat="1" applyFont="1" applyFill="1" applyBorder="1" applyAlignment="1" applyProtection="1">
      <alignment horizontal="center" vertical="center" wrapText="1"/>
    </xf>
    <xf numFmtId="2" fontId="17" fillId="14" borderId="27" xfId="2" applyNumberFormat="1" applyFont="1" applyFill="1" applyBorder="1" applyAlignment="1" applyProtection="1">
      <alignment horizontal="center" vertical="center" wrapText="1"/>
    </xf>
    <xf numFmtId="0" fontId="0" fillId="14" borderId="0" xfId="0" applyFill="1"/>
    <xf numFmtId="0" fontId="0" fillId="14" borderId="27" xfId="0" applyFill="1" applyBorder="1" applyAlignment="1">
      <alignment wrapText="1"/>
    </xf>
  </cellXfs>
  <cellStyles count="6">
    <cellStyle name="Excel Built-in Normal" xfId="3" xr:uid="{00000000-0005-0000-0000-000000000000}"/>
    <cellStyle name="Style_6_text" xfId="4" xr:uid="{00000000-0005-0000-0000-000001000000}"/>
    <cellStyle name="Гиперссылка" xfId="1" builtinId="8"/>
    <cellStyle name="Обычный" xfId="0" builtinId="0"/>
    <cellStyle name="Обычный 2" xfId="2" xr:uid="{00000000-0005-0000-0000-000004000000}"/>
    <cellStyle name="Финансовый 3" xfId="5" xr:uid="{00000000-0005-0000-0000-000005000000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alignment textRotation="0" wrapText="1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textRotation="0" wrapText="1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textRotation="0" wrapText="1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  <strike val="0"/>
        <u val="none"/>
        <sz val="11"/>
        <color auto="1"/>
        <name val="Calibri"/>
        <scheme val="none"/>
      </font>
      <numFmt numFmtId="166" formatCode="#,##0.0"/>
      <fill>
        <patternFill patternType="none"/>
      </fill>
      <alignment horizontal="left" vertical="center" textRotation="0" wrapText="1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textRotation="0" wrapText="1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textRotation="0" wrapText="1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textRotation="0" wrapText="1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textRotation="0" wrapText="1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textRotation="0" wrapText="1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textRotation="0" wrapText="1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textRotation="0" wrapText="1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C00000"/>
      </font>
      <fill>
        <patternFill patternType="solid">
          <bgColor rgb="FFFFB9B9"/>
        </patternFill>
      </fill>
    </dxf>
    <dxf>
      <font>
        <color theme="9" tint="-0.499984740745262"/>
      </font>
      <fill>
        <patternFill patternType="solid">
          <bgColor rgb="FFC3E7D8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C00000"/>
      </font>
      <fill>
        <patternFill patternType="solid">
          <bgColor rgb="FFFFB9B9"/>
        </patternFill>
      </fill>
    </dxf>
    <dxf>
      <font>
        <color theme="9" tint="-0.499984740745262"/>
      </font>
      <fill>
        <patternFill patternType="solid">
          <bgColor rgb="FFC3E7D8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mruColors>
      <color rgb="FFFEE2F6"/>
      <color rgb="FFE0E0E0"/>
      <color rgb="FF00FFFF"/>
      <color rgb="FFC3E7D8"/>
      <color rgb="FFFFB9B9"/>
      <color rgb="FFFCBABC"/>
      <color rgb="FFFF6600"/>
      <color rgb="FFFBC9C9"/>
      <color rgb="FFF8AAAA"/>
      <color rgb="FFE3E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Источник" displayName="Источник" ref="Q4:AA39" totalsRowShown="0" headerRowDxfId="24" dataDxfId="23">
  <autoFilter ref="Q4:AA39" xr:uid="{00000000-0009-0000-0100-000001000000}"/>
  <tableColumns count="11">
    <tableColumn id="1" xr3:uid="{00000000-0010-0000-0000-000001000000}" name="Нулевой цикл" dataDxfId="22"/>
    <tableColumn id="2" xr3:uid="{00000000-0010-0000-0000-000002000000}" name="Монолитный каркас" dataDxfId="21"/>
    <tableColumn id="3" xr3:uid="{00000000-0010-0000-0000-000003000000}" name="Кладочные работы" dataDxfId="20"/>
    <tableColumn id="4" xr3:uid="{00000000-0010-0000-0000-000004000000}" name="Вентблоки" dataDxfId="19"/>
    <tableColumn id="5" xr3:uid="{00000000-0010-0000-0000-000005000000}" name="Кровельные работы" dataDxfId="18"/>
    <tableColumn id="6" xr3:uid="{00000000-0010-0000-0000-000006000000}" name="Металлоконструкции" dataDxfId="17"/>
    <tableColumn id="7" xr3:uid="{00000000-0010-0000-0000-000007000000}" name="Двери и окна" dataDxfId="16"/>
    <tableColumn id="8" xr3:uid="{00000000-0010-0000-0000-000008000000}" name="Отделочные работы" dataDxfId="15"/>
    <tableColumn id="9" xr3:uid="{00000000-0010-0000-0000-000009000000}" name="Фасадные работы" dataDxfId="14"/>
    <tableColumn id="10" xr3:uid="{D2F6F381-D527-4006-956D-0C7F70623E92}" name="Благоустройство" dataDxfId="13"/>
    <tableColumn id="11" xr3:uid="{D7C9053D-C1DC-4780-8A9E-17AB1FBAD7D0}" name="Инженерные сети" dataDxf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Downloads/Telegram%20Desktop/&#1056;&#1057;&#1054;%20&#1040;&#1090;&#1084;&#1086;&#1089;&#1092;&#1077;&#1088;&#1072;2%20%2027.03.21.xlsx" TargetMode="External"/><Relationship Id="rId1" Type="http://schemas.openxmlformats.org/officeDocument/2006/relationships/hyperlink" Target="../../../../Downloads/Telegram%20Desktop/&#1056;&#1057;&#1054;_&#1040;&#1090;&#1084;&#1086;&#1089;&#1092;&#1077;&#1088;&#1072;_&#1044;1_29.0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workbookViewId="0">
      <selection activeCell="D7" sqref="D7"/>
    </sheetView>
  </sheetViews>
  <sheetFormatPr defaultColWidth="9" defaultRowHeight="15"/>
  <cols>
    <col min="1" max="1" width="37.140625" style="75" customWidth="1"/>
    <col min="2" max="3" width="14.42578125" customWidth="1"/>
    <col min="4" max="4" width="16.42578125" customWidth="1"/>
    <col min="5" max="5" width="16.140625" customWidth="1"/>
    <col min="6" max="6" width="17.42578125" style="2" customWidth="1"/>
    <col min="7" max="7" width="16.85546875" style="2" customWidth="1"/>
    <col min="8" max="8" width="15.28515625" style="2" customWidth="1"/>
    <col min="9" max="9" width="17.5703125" style="2" customWidth="1"/>
    <col min="10" max="10" width="15.28515625" style="2" customWidth="1"/>
    <col min="11" max="11" width="17.5703125" style="2" customWidth="1"/>
    <col min="12" max="12" width="28.42578125" customWidth="1"/>
  </cols>
  <sheetData>
    <row r="1" spans="1:14">
      <c r="A1" s="293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</row>
    <row r="2" spans="1:14">
      <c r="A2" s="76" t="s">
        <v>1</v>
      </c>
      <c r="B2" s="294">
        <v>19</v>
      </c>
      <c r="C2" s="295"/>
      <c r="D2" s="294">
        <v>19</v>
      </c>
      <c r="E2" s="295"/>
      <c r="F2" s="296" t="s">
        <v>253</v>
      </c>
      <c r="G2" s="297"/>
      <c r="H2" s="296" t="s">
        <v>2</v>
      </c>
      <c r="I2" s="298"/>
      <c r="J2" s="296" t="s">
        <v>254</v>
      </c>
      <c r="K2" s="298"/>
      <c r="L2" s="119" t="s">
        <v>3</v>
      </c>
    </row>
    <row r="3" spans="1:14">
      <c r="A3" s="289" t="s">
        <v>4</v>
      </c>
      <c r="B3" s="77" t="s">
        <v>5</v>
      </c>
      <c r="C3" s="77">
        <f>B6+B7+B8+B20+B21+B25+B26+B27+B30</f>
        <v>22336.640000000003</v>
      </c>
      <c r="D3" s="78" t="s">
        <v>6</v>
      </c>
      <c r="E3" s="78">
        <f>D6+D7+D18+D20+D21+D25+D26+D27+D30</f>
        <v>29288.1</v>
      </c>
      <c r="F3" s="79" t="s">
        <v>7</v>
      </c>
      <c r="G3" s="80">
        <f>F14+F16</f>
        <v>33154.400000000001</v>
      </c>
      <c r="H3" s="264" t="s">
        <v>8</v>
      </c>
      <c r="I3" s="265">
        <f>H14+H16</f>
        <v>34717.966</v>
      </c>
      <c r="J3" s="276" t="s">
        <v>252</v>
      </c>
      <c r="K3" s="277">
        <f>J14+J16</f>
        <v>25902.411999999997</v>
      </c>
      <c r="L3" s="120"/>
    </row>
    <row r="4" spans="1:14" ht="30" customHeight="1">
      <c r="A4" s="290"/>
      <c r="B4" s="81" t="s">
        <v>9</v>
      </c>
      <c r="C4" s="82" t="s">
        <v>10</v>
      </c>
      <c r="D4" s="83" t="s">
        <v>9</v>
      </c>
      <c r="E4" s="84" t="s">
        <v>10</v>
      </c>
      <c r="F4" s="85" t="s">
        <v>9</v>
      </c>
      <c r="G4" s="86" t="s">
        <v>10</v>
      </c>
      <c r="H4" s="266" t="s">
        <v>9</v>
      </c>
      <c r="I4" s="267" t="s">
        <v>10</v>
      </c>
      <c r="J4" s="262" t="s">
        <v>9</v>
      </c>
      <c r="K4" s="278" t="s">
        <v>10</v>
      </c>
      <c r="L4" s="121"/>
    </row>
    <row r="5" spans="1:14">
      <c r="A5" s="291" t="s">
        <v>11</v>
      </c>
      <c r="B5" s="292"/>
      <c r="C5" s="292"/>
      <c r="D5" s="292"/>
      <c r="E5" s="292"/>
      <c r="F5" s="292"/>
      <c r="G5" s="292"/>
      <c r="H5" s="292"/>
      <c r="I5" s="292"/>
      <c r="J5" s="87"/>
      <c r="K5" s="87"/>
      <c r="L5" s="121"/>
    </row>
    <row r="6" spans="1:14">
      <c r="A6" s="88" t="s">
        <v>12</v>
      </c>
      <c r="B6" s="81">
        <v>15895.28</v>
      </c>
      <c r="C6" s="89">
        <f>(B6/$C$3)*100</f>
        <v>71.162359244720776</v>
      </c>
      <c r="D6" s="90">
        <v>19647</v>
      </c>
      <c r="E6" s="91">
        <f>(D6/$E$3)*100</f>
        <v>67.081852356417798</v>
      </c>
      <c r="F6" s="92">
        <v>25644.36</v>
      </c>
      <c r="G6" s="93">
        <f>F6/$G$3*100</f>
        <v>77.348285597085152</v>
      </c>
      <c r="H6" s="268">
        <v>27600.6</v>
      </c>
      <c r="I6" s="269">
        <f t="shared" ref="I6:K14" si="0">H6/$I$3*100</f>
        <v>79.499472981798519</v>
      </c>
      <c r="J6" s="261">
        <f>24631.53+598.26</f>
        <v>25229.789999999997</v>
      </c>
      <c r="K6" s="279">
        <f t="shared" si="0"/>
        <v>72.670703116651467</v>
      </c>
      <c r="L6" s="121"/>
    </row>
    <row r="7" spans="1:14">
      <c r="A7" s="94" t="s">
        <v>13</v>
      </c>
      <c r="B7" s="81">
        <v>389.37</v>
      </c>
      <c r="C7" s="89">
        <f t="shared" ref="C7:C8" si="1">(B7/$C$3)*100</f>
        <v>1.7431896650525771</v>
      </c>
      <c r="D7" s="90">
        <f>565.4+578.2</f>
        <v>1143.5999999999999</v>
      </c>
      <c r="E7" s="91">
        <f>(D7/$E$3)*100</f>
        <v>3.9046575230212954</v>
      </c>
      <c r="F7" s="85" t="s">
        <v>14</v>
      </c>
      <c r="G7" s="95"/>
      <c r="H7" s="266">
        <v>184.01</v>
      </c>
      <c r="I7" s="270">
        <f t="shared" si="0"/>
        <v>0.53001376866375172</v>
      </c>
      <c r="J7" s="262">
        <v>255.43</v>
      </c>
      <c r="K7" s="280">
        <f t="shared" si="0"/>
        <v>0.73572858502136906</v>
      </c>
      <c r="L7" s="121"/>
    </row>
    <row r="8" spans="1:14">
      <c r="A8" s="94" t="s">
        <v>15</v>
      </c>
      <c r="B8" s="81">
        <f>169.31</f>
        <v>169.31</v>
      </c>
      <c r="C8" s="89">
        <f t="shared" si="1"/>
        <v>0.75799224950574473</v>
      </c>
      <c r="D8" s="90" t="s">
        <v>14</v>
      </c>
      <c r="E8" s="91" t="s">
        <v>14</v>
      </c>
      <c r="F8" s="85" t="s">
        <v>14</v>
      </c>
      <c r="G8" s="95"/>
      <c r="H8" s="266" t="s">
        <v>14</v>
      </c>
      <c r="I8" s="270" t="e">
        <f t="shared" si="0"/>
        <v>#VALUE!</v>
      </c>
      <c r="J8" s="262" t="s">
        <v>14</v>
      </c>
      <c r="K8" s="280" t="e">
        <f t="shared" si="0"/>
        <v>#VALUE!</v>
      </c>
      <c r="L8" s="121"/>
    </row>
    <row r="9" spans="1:14" ht="30">
      <c r="A9" s="94" t="s">
        <v>16</v>
      </c>
      <c r="B9" s="81"/>
      <c r="C9" s="89"/>
      <c r="D9" s="90"/>
      <c r="E9" s="91"/>
      <c r="F9" s="85">
        <f>221.4*0.4</f>
        <v>88.56</v>
      </c>
      <c r="G9" s="96">
        <f t="shared" ref="G9:G14" si="2">F9/$G$3*100</f>
        <v>0.26711386723934077</v>
      </c>
      <c r="H9" s="266">
        <f>383.24*0.4</f>
        <v>153.29600000000002</v>
      </c>
      <c r="I9" s="270">
        <f t="shared" si="0"/>
        <v>0.4415466044295337</v>
      </c>
      <c r="J9" s="262">
        <f>H9</f>
        <v>153.29600000000002</v>
      </c>
      <c r="K9" s="280">
        <f t="shared" si="0"/>
        <v>0.4415466044295337</v>
      </c>
      <c r="L9" s="121"/>
    </row>
    <row r="10" spans="1:14">
      <c r="A10" s="88" t="s">
        <v>17</v>
      </c>
      <c r="B10" s="81"/>
      <c r="C10" s="89"/>
      <c r="D10" s="90"/>
      <c r="E10" s="91"/>
      <c r="F10" s="85">
        <f>848.91*0.4</f>
        <v>339.56400000000002</v>
      </c>
      <c r="G10" s="96">
        <f t="shared" si="2"/>
        <v>1.0241898511208165</v>
      </c>
      <c r="H10" s="266">
        <f>659.74*0.4</f>
        <v>263.89600000000002</v>
      </c>
      <c r="I10" s="270">
        <f t="shared" si="0"/>
        <v>0.76011365412363163</v>
      </c>
      <c r="J10" s="263">
        <f>H10</f>
        <v>263.89600000000002</v>
      </c>
      <c r="K10" s="280">
        <f t="shared" si="0"/>
        <v>0.76011365412363163</v>
      </c>
      <c r="L10" s="121"/>
    </row>
    <row r="11" spans="1:14">
      <c r="A11" s="94" t="s">
        <v>18</v>
      </c>
      <c r="B11" s="81"/>
      <c r="C11" s="89"/>
      <c r="D11" s="90"/>
      <c r="E11" s="91"/>
      <c r="F11" s="85">
        <v>89.37</v>
      </c>
      <c r="G11" s="96">
        <f t="shared" si="2"/>
        <v>0.26955698187872501</v>
      </c>
      <c r="H11" s="266" t="s">
        <v>14</v>
      </c>
      <c r="I11" s="270" t="e">
        <f t="shared" si="0"/>
        <v>#VALUE!</v>
      </c>
      <c r="J11" s="262" t="s">
        <v>14</v>
      </c>
      <c r="K11" s="280" t="e">
        <f t="shared" si="0"/>
        <v>#VALUE!</v>
      </c>
      <c r="L11" s="121"/>
    </row>
    <row r="12" spans="1:14">
      <c r="A12" s="94" t="s">
        <v>19</v>
      </c>
      <c r="B12" s="81"/>
      <c r="C12" s="89"/>
      <c r="D12" s="90"/>
      <c r="E12" s="91"/>
      <c r="F12" s="85">
        <v>128.12</v>
      </c>
      <c r="G12" s="96">
        <f t="shared" si="2"/>
        <v>0.38643437975050071</v>
      </c>
      <c r="H12" s="266" t="s">
        <v>14</v>
      </c>
      <c r="I12" s="270" t="e">
        <f t="shared" si="0"/>
        <v>#VALUE!</v>
      </c>
      <c r="J12" s="262" t="s">
        <v>14</v>
      </c>
      <c r="K12" s="280" t="e">
        <f t="shared" si="0"/>
        <v>#VALUE!</v>
      </c>
      <c r="L12" s="121"/>
    </row>
    <row r="13" spans="1:14">
      <c r="A13" s="94" t="s">
        <v>20</v>
      </c>
      <c r="B13" s="81"/>
      <c r="C13" s="89"/>
      <c r="D13" s="90"/>
      <c r="E13" s="91"/>
      <c r="F13" s="85">
        <v>84.02</v>
      </c>
      <c r="G13" s="96">
        <f t="shared" si="2"/>
        <v>0.25342036049513789</v>
      </c>
      <c r="H13" s="266" t="s">
        <v>14</v>
      </c>
      <c r="I13" s="270" t="e">
        <f t="shared" si="0"/>
        <v>#VALUE!</v>
      </c>
      <c r="J13" s="262" t="s">
        <v>14</v>
      </c>
      <c r="K13" s="280" t="e">
        <f t="shared" si="0"/>
        <v>#VALUE!</v>
      </c>
      <c r="L13" s="121"/>
    </row>
    <row r="14" spans="1:14">
      <c r="A14" s="97" t="s">
        <v>21</v>
      </c>
      <c r="B14" s="98">
        <f>SUM(B6:B8)</f>
        <v>16453.960000000003</v>
      </c>
      <c r="C14" s="99">
        <f>SUM(C6:C8)</f>
        <v>73.663541159279106</v>
      </c>
      <c r="D14" s="100">
        <f>SUM(D6:D13)</f>
        <v>20790.599999999999</v>
      </c>
      <c r="E14" s="100">
        <f>SUM(E6:E7)</f>
        <v>70.986509879439097</v>
      </c>
      <c r="F14" s="101">
        <f>SUM(F6:F13)</f>
        <v>26373.993999999999</v>
      </c>
      <c r="G14" s="93">
        <f t="shared" si="2"/>
        <v>79.549001037569667</v>
      </c>
      <c r="H14" s="271">
        <f>SUM(H6:H13)</f>
        <v>28201.801999999996</v>
      </c>
      <c r="I14" s="269">
        <f t="shared" si="0"/>
        <v>81.23114700901543</v>
      </c>
      <c r="J14" s="281">
        <f>SUM(J6:J13)</f>
        <v>25902.411999999997</v>
      </c>
      <c r="K14" s="279">
        <f>J14/$K$3*100</f>
        <v>100</v>
      </c>
      <c r="L14" s="121"/>
      <c r="M14" s="122"/>
      <c r="N14" s="122"/>
    </row>
    <row r="15" spans="1:14">
      <c r="A15" s="291" t="s">
        <v>22</v>
      </c>
      <c r="B15" s="292"/>
      <c r="C15" s="292"/>
      <c r="D15" s="292"/>
      <c r="E15" s="292"/>
      <c r="F15" s="292"/>
      <c r="G15" s="292"/>
      <c r="H15" s="292"/>
      <c r="I15" s="292"/>
      <c r="J15" s="87"/>
      <c r="K15" s="87"/>
      <c r="L15" s="121"/>
    </row>
    <row r="16" spans="1:14">
      <c r="A16" s="97" t="s">
        <v>23</v>
      </c>
      <c r="B16" s="98">
        <f>B23+B28+B30</f>
        <v>5882.68</v>
      </c>
      <c r="C16" s="99">
        <f t="shared" ref="C16:C21" si="3">(B16/$C$3)*100</f>
        <v>26.336458840720894</v>
      </c>
      <c r="D16" s="100">
        <f>D23+D28+D30</f>
        <v>8497.5</v>
      </c>
      <c r="E16" s="100">
        <f>(D16/$E$3)*100</f>
        <v>29.013490120560913</v>
      </c>
      <c r="F16" s="101">
        <f>F23+F28+F30</f>
        <v>6780.4059999999999</v>
      </c>
      <c r="G16" s="93">
        <f>F16/$G$3*100</f>
        <v>20.450998962430326</v>
      </c>
      <c r="H16" s="271">
        <f>H23+H28+H30</f>
        <v>6516.1640000000007</v>
      </c>
      <c r="I16" s="269">
        <f>H16/$I$3*100</f>
        <v>18.768852990984556</v>
      </c>
      <c r="J16" s="282">
        <f>J23+J28+J30</f>
        <v>0</v>
      </c>
      <c r="K16" s="279">
        <f>J16/$K$3*100</f>
        <v>0</v>
      </c>
      <c r="L16" s="121"/>
    </row>
    <row r="17" spans="1:12">
      <c r="A17" s="291" t="s">
        <v>24</v>
      </c>
      <c r="B17" s="292"/>
      <c r="C17" s="292"/>
      <c r="D17" s="292"/>
      <c r="E17" s="292"/>
      <c r="F17" s="292"/>
      <c r="G17" s="292"/>
      <c r="H17" s="292"/>
      <c r="I17" s="292"/>
      <c r="J17" s="87"/>
      <c r="K17" s="87"/>
      <c r="L17" s="121"/>
    </row>
    <row r="18" spans="1:12" ht="30">
      <c r="A18" s="94" t="s">
        <v>25</v>
      </c>
      <c r="B18" s="81" t="s">
        <v>14</v>
      </c>
      <c r="C18" s="89"/>
      <c r="D18" s="90">
        <v>1045.8</v>
      </c>
      <c r="E18" s="91">
        <f>(D18/$E$3)*100</f>
        <v>3.5707335060997472</v>
      </c>
      <c r="F18" s="85">
        <f>221.4*0.6</f>
        <v>132.84</v>
      </c>
      <c r="G18" s="96">
        <f>F18/$G$3*100</f>
        <v>0.40067080085901113</v>
      </c>
      <c r="H18" s="266">
        <f>445*0.6</f>
        <v>267</v>
      </c>
      <c r="I18" s="270">
        <f t="shared" ref="I18:K23" si="4">H18/$I$3*100</f>
        <v>0.76905427005718019</v>
      </c>
      <c r="J18" s="262"/>
      <c r="K18" s="280">
        <f t="shared" si="4"/>
        <v>0</v>
      </c>
      <c r="L18" s="121"/>
    </row>
    <row r="19" spans="1:12">
      <c r="A19" s="88" t="s">
        <v>26</v>
      </c>
      <c r="B19" s="81"/>
      <c r="C19" s="89"/>
      <c r="D19" s="90"/>
      <c r="E19" s="91"/>
      <c r="F19" s="85">
        <f>848.91*0.6</f>
        <v>509.34599999999995</v>
      </c>
      <c r="G19" s="95"/>
      <c r="H19" s="266">
        <f>(218.07+220.13+235.29)*0.6</f>
        <v>404.09399999999999</v>
      </c>
      <c r="I19" s="270">
        <f t="shared" si="4"/>
        <v>1.1639333940242926</v>
      </c>
      <c r="J19" s="262"/>
      <c r="K19" s="280">
        <f t="shared" si="4"/>
        <v>0</v>
      </c>
      <c r="L19" s="121"/>
    </row>
    <row r="20" spans="1:12">
      <c r="A20" s="94" t="s">
        <v>27</v>
      </c>
      <c r="B20" s="81">
        <v>91.5</v>
      </c>
      <c r="C20" s="89">
        <f t="shared" si="3"/>
        <v>0.4096408412366408</v>
      </c>
      <c r="D20" s="90">
        <v>38.619999999999997</v>
      </c>
      <c r="E20" s="91">
        <f t="shared" ref="E20:E21" si="5">(D20/$E$3)*100</f>
        <v>0.13186242876799792</v>
      </c>
      <c r="F20" s="85">
        <v>181.86</v>
      </c>
      <c r="G20" s="96">
        <f>F20/$G$3*100</f>
        <v>0.54852447940544846</v>
      </c>
      <c r="H20" s="266">
        <f>177.5</f>
        <v>177.5</v>
      </c>
      <c r="I20" s="270">
        <f t="shared" si="4"/>
        <v>0.51126267016909921</v>
      </c>
      <c r="J20" s="262"/>
      <c r="K20" s="280">
        <f t="shared" si="4"/>
        <v>0</v>
      </c>
      <c r="L20" s="121"/>
    </row>
    <row r="21" spans="1:12">
      <c r="A21" s="94" t="s">
        <v>28</v>
      </c>
      <c r="B21" s="81">
        <v>73.010000000000005</v>
      </c>
      <c r="C21" s="89">
        <f t="shared" si="3"/>
        <v>0.32686205266324747</v>
      </c>
      <c r="D21" s="90">
        <v>37.83</v>
      </c>
      <c r="E21" s="91">
        <f t="shared" si="5"/>
        <v>0.12916508752701608</v>
      </c>
      <c r="F21" s="85"/>
      <c r="G21" s="96"/>
      <c r="H21" s="266"/>
      <c r="I21" s="270">
        <f t="shared" si="4"/>
        <v>0</v>
      </c>
      <c r="J21" s="262"/>
      <c r="K21" s="280">
        <f t="shared" si="4"/>
        <v>0</v>
      </c>
      <c r="L21" s="121"/>
    </row>
    <row r="22" spans="1:12">
      <c r="A22" s="94" t="s">
        <v>29</v>
      </c>
      <c r="B22" s="81"/>
      <c r="C22" s="89"/>
      <c r="D22" s="90"/>
      <c r="E22" s="91"/>
      <c r="F22" s="85">
        <v>224.04</v>
      </c>
      <c r="G22" s="96">
        <f>F22/$G$3*100</f>
        <v>0.67574741210819678</v>
      </c>
      <c r="H22" s="266">
        <f>221.18</f>
        <v>221.18</v>
      </c>
      <c r="I22" s="270">
        <f t="shared" si="4"/>
        <v>0.63707649232676822</v>
      </c>
      <c r="J22" s="262"/>
      <c r="K22" s="280">
        <f t="shared" si="4"/>
        <v>0</v>
      </c>
      <c r="L22" s="121"/>
    </row>
    <row r="23" spans="1:12">
      <c r="A23" s="97" t="s">
        <v>21</v>
      </c>
      <c r="B23" s="102">
        <f>SUM(B18:B22)</f>
        <v>164.51</v>
      </c>
      <c r="C23" s="99">
        <f>SUM(C20:C21)</f>
        <v>0.73650289389988832</v>
      </c>
      <c r="D23" s="103">
        <f>SUM(D18:D22)</f>
        <v>1122.2499999999998</v>
      </c>
      <c r="E23" s="100">
        <f>SUM(E18:E21)</f>
        <v>3.8317610223947614</v>
      </c>
      <c r="F23" s="92">
        <f>SUM(F18:F22)</f>
        <v>1048.086</v>
      </c>
      <c r="G23" s="93">
        <f>F23/G3*100</f>
        <v>3.1612274690538809</v>
      </c>
      <c r="H23" s="272">
        <f>SUM(H18:H22)</f>
        <v>1069.7740000000001</v>
      </c>
      <c r="I23" s="269">
        <f t="shared" si="4"/>
        <v>3.0813268265773406</v>
      </c>
      <c r="J23" s="283">
        <f>SUM(J18:J22)</f>
        <v>0</v>
      </c>
      <c r="K23" s="279">
        <f t="shared" si="4"/>
        <v>0</v>
      </c>
      <c r="L23" s="121"/>
    </row>
    <row r="24" spans="1:12">
      <c r="A24" s="291" t="s">
        <v>30</v>
      </c>
      <c r="B24" s="292"/>
      <c r="C24" s="292"/>
      <c r="D24" s="292"/>
      <c r="E24" s="292"/>
      <c r="F24" s="292"/>
      <c r="G24" s="292"/>
      <c r="H24" s="292"/>
      <c r="I24" s="292"/>
      <c r="J24" s="87"/>
      <c r="K24" s="87"/>
      <c r="L24" s="121"/>
    </row>
    <row r="25" spans="1:12">
      <c r="A25" s="94" t="s">
        <v>31</v>
      </c>
      <c r="B25" s="81">
        <f>4324.5+172.95</f>
        <v>4497.45</v>
      </c>
      <c r="C25" s="89">
        <f t="shared" ref="C25:C27" si="6">(B25/$C$3)*100</f>
        <v>20.134854660324915</v>
      </c>
      <c r="D25" s="90">
        <f>4494.42+76.86+203.63+4.92+4.92</f>
        <v>4784.75</v>
      </c>
      <c r="E25" s="91">
        <f t="shared" ref="E25:E27" si="7">(D25/$E$3)*100</f>
        <v>16.336839876946609</v>
      </c>
      <c r="F25" s="85">
        <v>3800.08</v>
      </c>
      <c r="G25" s="96">
        <f>F25/$G$3*100</f>
        <v>11.461766763989093</v>
      </c>
      <c r="H25" s="266">
        <f>3441.65+21.6</f>
        <v>3463.25</v>
      </c>
      <c r="I25" s="270">
        <f>H25/$I$3*100</f>
        <v>9.9753827744401846</v>
      </c>
      <c r="J25" s="262"/>
      <c r="K25" s="280">
        <f>J25/$I$3*100</f>
        <v>0</v>
      </c>
      <c r="L25" s="121"/>
    </row>
    <row r="26" spans="1:12">
      <c r="A26" s="94" t="s">
        <v>32</v>
      </c>
      <c r="B26" s="104">
        <v>578</v>
      </c>
      <c r="C26" s="89">
        <f t="shared" si="6"/>
        <v>2.5876765708718943</v>
      </c>
      <c r="D26" s="105">
        <v>650</v>
      </c>
      <c r="E26" s="91">
        <f t="shared" si="7"/>
        <v>2.2193314008078366</v>
      </c>
      <c r="F26" s="85">
        <v>1191.53</v>
      </c>
      <c r="G26" s="96">
        <f>F26/$G$3*100</f>
        <v>3.5938819583524357</v>
      </c>
      <c r="H26" s="266">
        <v>1323.92</v>
      </c>
      <c r="I26" s="270">
        <f>H26/$I$3*100</f>
        <v>3.8133570382550634</v>
      </c>
      <c r="J26" s="262"/>
      <c r="K26" s="280">
        <f>J26/$I$3*100</f>
        <v>0</v>
      </c>
      <c r="L26" s="121"/>
    </row>
    <row r="27" spans="1:12">
      <c r="A27" s="94" t="s">
        <v>33</v>
      </c>
      <c r="B27" s="81">
        <v>209.7</v>
      </c>
      <c r="C27" s="89">
        <f t="shared" si="6"/>
        <v>0.93881622303085854</v>
      </c>
      <c r="D27" s="90">
        <v>334.4</v>
      </c>
      <c r="E27" s="91">
        <f t="shared" si="7"/>
        <v>1.141760646815601</v>
      </c>
      <c r="F27" s="85" t="s">
        <v>14</v>
      </c>
      <c r="G27" s="95"/>
      <c r="H27" s="266" t="s">
        <v>14</v>
      </c>
      <c r="I27" s="270" t="e">
        <f>H27/$I$3*100</f>
        <v>#VALUE!</v>
      </c>
      <c r="J27" s="262" t="s">
        <v>14</v>
      </c>
      <c r="K27" s="280" t="e">
        <f>J27/$I$3*100</f>
        <v>#VALUE!</v>
      </c>
      <c r="L27" s="121"/>
    </row>
    <row r="28" spans="1:12">
      <c r="A28" s="97" t="s">
        <v>21</v>
      </c>
      <c r="B28" s="102">
        <f>SUM(B25:B27)</f>
        <v>5285.15</v>
      </c>
      <c r="C28" s="99">
        <f>SUM(C25:C27)</f>
        <v>23.66134745422767</v>
      </c>
      <c r="D28" s="103">
        <f>SUM(D25:D27)</f>
        <v>5769.15</v>
      </c>
      <c r="E28" s="100">
        <f>SUM(E25:E27)</f>
        <v>19.697931924570046</v>
      </c>
      <c r="F28" s="92">
        <f>SUM(F25:F27)</f>
        <v>4991.6099999999997</v>
      </c>
      <c r="G28" s="93">
        <f>F28/G3*100</f>
        <v>15.055648722341527</v>
      </c>
      <c r="H28" s="272">
        <f>SUM(H25:H27)</f>
        <v>4787.17</v>
      </c>
      <c r="I28" s="269">
        <f>H28/$I$3*100</f>
        <v>13.788739812695248</v>
      </c>
      <c r="J28" s="283">
        <f>SUM(J25:J27)</f>
        <v>0</v>
      </c>
      <c r="K28" s="279">
        <f>J28/$I$3*100</f>
        <v>0</v>
      </c>
      <c r="L28" s="121"/>
    </row>
    <row r="29" spans="1:12">
      <c r="A29" s="291" t="s">
        <v>34</v>
      </c>
      <c r="B29" s="292"/>
      <c r="C29" s="292"/>
      <c r="D29" s="292"/>
      <c r="E29" s="292"/>
      <c r="F29" s="292"/>
      <c r="G29" s="292"/>
      <c r="H29" s="292"/>
      <c r="I29" s="292"/>
      <c r="J29" s="87"/>
      <c r="K29" s="87"/>
      <c r="L29" s="121"/>
    </row>
    <row r="30" spans="1:12" ht="30">
      <c r="A30" s="97" t="s">
        <v>35</v>
      </c>
      <c r="B30" s="98">
        <f>206.52+33+183.6+9.9</f>
        <v>433.02</v>
      </c>
      <c r="C30" s="99">
        <f t="shared" ref="C30:C31" si="8">(B30/$C$3)*100</f>
        <v>1.9386084925933351</v>
      </c>
      <c r="D30" s="103">
        <f>1606.1</f>
        <v>1606.1</v>
      </c>
      <c r="E30" s="100">
        <f>(D30/$E$3)*100</f>
        <v>5.483797173596102</v>
      </c>
      <c r="F30" s="92">
        <f>596.39+61.42+27.6+27.7+27.6</f>
        <v>740.71</v>
      </c>
      <c r="G30" s="93">
        <f>F30/$G$3*100</f>
        <v>2.2341227710349152</v>
      </c>
      <c r="H30" s="272">
        <f>266+143.2+89.21+62.71+(27.7*3)+15</f>
        <v>659.22</v>
      </c>
      <c r="I30" s="269">
        <f>H30/$I$3*100</f>
        <v>1.8987863517119639</v>
      </c>
      <c r="J30" s="283"/>
      <c r="K30" s="279">
        <f>J30/$I$3*100</f>
        <v>0</v>
      </c>
      <c r="L30" s="121"/>
    </row>
    <row r="31" spans="1:12" ht="45">
      <c r="A31" s="106" t="s">
        <v>36</v>
      </c>
      <c r="B31" s="107">
        <f>206.52+33+183.6</f>
        <v>423.12</v>
      </c>
      <c r="C31" s="108">
        <f t="shared" si="8"/>
        <v>1.8942866966562562</v>
      </c>
      <c r="D31" s="109">
        <f>106.1</f>
        <v>106.1</v>
      </c>
      <c r="E31" s="110">
        <f>(D31/$E$3)*100</f>
        <v>0.36226317173186379</v>
      </c>
      <c r="F31" s="111">
        <f>115.06+27.6+27.7+27.6</f>
        <v>197.95999999999998</v>
      </c>
      <c r="G31" s="112">
        <f>F31/$G$3*100</f>
        <v>0.59708515310185062</v>
      </c>
      <c r="H31" s="273">
        <f>62.71+(27.7*3)+15</f>
        <v>160.81</v>
      </c>
      <c r="I31" s="270">
        <f>H31/$I$3*100</f>
        <v>0.463189577407847</v>
      </c>
      <c r="J31" s="284"/>
      <c r="K31" s="280">
        <f>J31/$I$3*100</f>
        <v>0</v>
      </c>
      <c r="L31" s="121"/>
    </row>
    <row r="32" spans="1:12">
      <c r="A32" s="287" t="s">
        <v>37</v>
      </c>
      <c r="B32" s="288"/>
      <c r="C32" s="288"/>
      <c r="D32" s="288"/>
      <c r="E32" s="288"/>
      <c r="F32" s="288"/>
      <c r="G32" s="288"/>
      <c r="H32" s="288"/>
      <c r="I32" s="288"/>
      <c r="J32" s="123"/>
      <c r="K32" s="123"/>
      <c r="L32" s="121"/>
    </row>
    <row r="33" spans="1:12">
      <c r="A33" s="113"/>
      <c r="B33" s="114" t="s">
        <v>5</v>
      </c>
      <c r="C33" s="114">
        <f>B35+B36+B37</f>
        <v>2106.31</v>
      </c>
      <c r="D33" s="115" t="s">
        <v>38</v>
      </c>
      <c r="E33" s="115">
        <f>D35+D36+D37</f>
        <v>4007.7799999999997</v>
      </c>
      <c r="F33" s="85" t="s">
        <v>14</v>
      </c>
      <c r="G33" s="95"/>
      <c r="H33" s="266" t="s">
        <v>14</v>
      </c>
      <c r="I33" s="274"/>
      <c r="J33" s="262" t="s">
        <v>14</v>
      </c>
      <c r="K33" s="285"/>
      <c r="L33" s="121"/>
    </row>
    <row r="34" spans="1:12" ht="30">
      <c r="A34" s="113"/>
      <c r="B34" s="81" t="s">
        <v>9</v>
      </c>
      <c r="C34" s="116" t="s">
        <v>10</v>
      </c>
      <c r="D34" s="90" t="s">
        <v>9</v>
      </c>
      <c r="E34" s="84" t="s">
        <v>10</v>
      </c>
      <c r="F34" s="85" t="s">
        <v>9</v>
      </c>
      <c r="G34" s="86" t="s">
        <v>10</v>
      </c>
      <c r="H34" s="266" t="s">
        <v>9</v>
      </c>
      <c r="I34" s="267" t="s">
        <v>10</v>
      </c>
      <c r="J34" s="262" t="s">
        <v>9</v>
      </c>
      <c r="K34" s="278" t="s">
        <v>10</v>
      </c>
      <c r="L34" s="121"/>
    </row>
    <row r="35" spans="1:12">
      <c r="A35" s="94" t="s">
        <v>37</v>
      </c>
      <c r="B35" s="81">
        <f>1186.86</f>
        <v>1186.8599999999999</v>
      </c>
      <c r="C35" s="89">
        <f>(B35/$C$33)*100</f>
        <v>56.34783104101485</v>
      </c>
      <c r="D35" s="90">
        <v>1931.41</v>
      </c>
      <c r="E35" s="91">
        <f>(D35/$E$33)*100</f>
        <v>48.191517498465494</v>
      </c>
      <c r="F35" s="85" t="s">
        <v>14</v>
      </c>
      <c r="G35" s="95"/>
      <c r="H35" s="266" t="s">
        <v>14</v>
      </c>
      <c r="I35" s="274" t="e">
        <f>(H35/I33)*100</f>
        <v>#VALUE!</v>
      </c>
      <c r="J35" s="262" t="s">
        <v>14</v>
      </c>
      <c r="K35" s="285" t="e">
        <f>(J35/K33)*100</f>
        <v>#VALUE!</v>
      </c>
      <c r="L35" s="121"/>
    </row>
    <row r="36" spans="1:12">
      <c r="A36" s="94" t="s">
        <v>39</v>
      </c>
      <c r="B36" s="81">
        <v>118.69</v>
      </c>
      <c r="C36" s="89">
        <f t="shared" ref="C36:C37" si="9">(B36/$C$33)*100</f>
        <v>5.6349730096709409</v>
      </c>
      <c r="D36" s="90">
        <f>86.57+54</f>
        <v>140.57</v>
      </c>
      <c r="E36" s="91">
        <f t="shared" ref="E36:E37" si="10">(D36/$E$33)*100</f>
        <v>3.5074280524380081</v>
      </c>
      <c r="F36" s="85" t="s">
        <v>14</v>
      </c>
      <c r="G36" s="95"/>
      <c r="H36" s="266" t="s">
        <v>14</v>
      </c>
      <c r="I36" s="274" t="e">
        <f t="shared" ref="I36:I37" si="11">(H36/I34)*100</f>
        <v>#VALUE!</v>
      </c>
      <c r="J36" s="262" t="s">
        <v>14</v>
      </c>
      <c r="K36" s="285" t="e">
        <f t="shared" ref="K36:K37" si="12">(J36/K34)*100</f>
        <v>#VALUE!</v>
      </c>
      <c r="L36" s="121"/>
    </row>
    <row r="37" spans="1:12">
      <c r="A37" s="94" t="s">
        <v>40</v>
      </c>
      <c r="B37" s="81">
        <v>800.76</v>
      </c>
      <c r="C37" s="89">
        <f t="shared" si="9"/>
        <v>38.0171959493142</v>
      </c>
      <c r="D37" s="90">
        <f>1935.8</f>
        <v>1935.8</v>
      </c>
      <c r="E37" s="91">
        <f t="shared" si="10"/>
        <v>48.301054449096512</v>
      </c>
      <c r="F37" s="85" t="s">
        <v>14</v>
      </c>
      <c r="G37" s="95"/>
      <c r="H37" s="266" t="s">
        <v>14</v>
      </c>
      <c r="I37" s="274" t="e">
        <f t="shared" si="11"/>
        <v>#VALUE!</v>
      </c>
      <c r="J37" s="262" t="s">
        <v>14</v>
      </c>
      <c r="K37" s="285" t="e">
        <f t="shared" si="12"/>
        <v>#VALUE!</v>
      </c>
      <c r="L37" s="121"/>
    </row>
    <row r="38" spans="1:12">
      <c r="A38" s="117"/>
      <c r="B38" s="107"/>
      <c r="C38" s="107"/>
      <c r="D38" s="109"/>
      <c r="E38" s="109"/>
      <c r="F38" s="111"/>
      <c r="G38" s="118"/>
      <c r="H38" s="273"/>
      <c r="I38" s="275"/>
      <c r="J38" s="284"/>
      <c r="K38" s="286"/>
      <c r="L38" s="124"/>
    </row>
  </sheetData>
  <mergeCells count="13">
    <mergeCell ref="A1:L1"/>
    <mergeCell ref="B2:C2"/>
    <mergeCell ref="D2:E2"/>
    <mergeCell ref="F2:G2"/>
    <mergeCell ref="H2:I2"/>
    <mergeCell ref="J2:K2"/>
    <mergeCell ref="A32:I32"/>
    <mergeCell ref="A3:A4"/>
    <mergeCell ref="A5:I5"/>
    <mergeCell ref="A15:I15"/>
    <mergeCell ref="A17:I17"/>
    <mergeCell ref="A24:I24"/>
    <mergeCell ref="A29:I29"/>
  </mergeCells>
  <conditionalFormatting sqref="I14">
    <cfRule type="cellIs" dxfId="50" priority="10" operator="between">
      <formula>MIN(C14,E14,G14)</formula>
      <formula>MAX(C14,E14,G14)</formula>
    </cfRule>
    <cfRule type="cellIs" dxfId="49" priority="11" operator="lessThan">
      <formula>MIN(C14,E14,G14)</formula>
    </cfRule>
    <cfRule type="cellIs" dxfId="48" priority="12" operator="greaterThan">
      <formula>MAX(C14,E14,G14)</formula>
    </cfRule>
  </conditionalFormatting>
  <conditionalFormatting sqref="K14">
    <cfRule type="cellIs" dxfId="47" priority="4" operator="between">
      <formula>MIN(E14,G14,I14)</formula>
      <formula>MAX(E14,G14,I14)</formula>
    </cfRule>
    <cfRule type="cellIs" dxfId="46" priority="5" operator="lessThan">
      <formula>MIN(E14,G14,I14)</formula>
    </cfRule>
    <cfRule type="cellIs" dxfId="45" priority="6" operator="greaterThan">
      <formula>MAX(E14,G14,I14)</formula>
    </cfRule>
  </conditionalFormatting>
  <conditionalFormatting sqref="I16">
    <cfRule type="cellIs" dxfId="44" priority="7" operator="between">
      <formula>MIN(C16,E16,G16)</formula>
      <formula>MAX(C16,E16,G16)</formula>
    </cfRule>
    <cfRule type="cellIs" dxfId="43" priority="8" operator="lessThan">
      <formula>MIN(C16,E16,G16)</formula>
    </cfRule>
    <cfRule type="cellIs" dxfId="42" priority="9" operator="greaterThan">
      <formula>MAX(C16,E16,G16)</formula>
    </cfRule>
  </conditionalFormatting>
  <conditionalFormatting sqref="K16">
    <cfRule type="cellIs" dxfId="41" priority="1" operator="between">
      <formula>MIN(E16,G16,I16)</formula>
      <formula>MAX(E16,G16,I16)</formula>
    </cfRule>
    <cfRule type="cellIs" dxfId="40" priority="2" operator="lessThan">
      <formula>MIN(E16,G16,I16)</formula>
    </cfRule>
    <cfRule type="cellIs" dxfId="39" priority="3" operator="greaterThan">
      <formula>MAX(E16,G16,I16)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8"/>
  <sheetViews>
    <sheetView zoomScale="70" zoomScaleNormal="70" workbookViewId="0">
      <pane ySplit="7530" topLeftCell="A87"/>
      <selection activeCell="D28" sqref="D28"/>
      <selection pane="bottomLeft" activeCell="A94" sqref="A94:B94"/>
    </sheetView>
  </sheetViews>
  <sheetFormatPr defaultColWidth="9" defaultRowHeight="15"/>
  <cols>
    <col min="1" max="1" width="35.42578125" customWidth="1"/>
    <col min="2" max="2" width="40.85546875" customWidth="1"/>
    <col min="4" max="4" width="12.28515625" customWidth="1"/>
    <col min="5" max="5" width="12.7109375" style="71" customWidth="1"/>
    <col min="6" max="6" width="16.85546875" style="71" customWidth="1"/>
    <col min="7" max="7" width="18" style="71" customWidth="1"/>
    <col min="8" max="8" width="19.5703125" style="71" customWidth="1"/>
    <col min="9" max="9" width="18" style="71" customWidth="1"/>
    <col min="10" max="12" width="17.140625" style="71" customWidth="1"/>
    <col min="13" max="14" width="19.28515625" style="70" customWidth="1"/>
    <col min="15" max="17" width="20.42578125" style="70" customWidth="1"/>
    <col min="18" max="19" width="19.28515625" style="70" customWidth="1"/>
    <col min="20" max="22" width="20.42578125" style="70" customWidth="1"/>
    <col min="23" max="23" width="19.28515625" style="70" customWidth="1"/>
    <col min="24" max="24" width="19.28515625" customWidth="1"/>
    <col min="25" max="25" width="20.42578125" customWidth="1"/>
    <col min="26" max="27" width="20.42578125" style="70" customWidth="1"/>
    <col min="28" max="28" width="29.7109375" customWidth="1"/>
  </cols>
  <sheetData>
    <row r="1" spans="1:28" s="2" customFormat="1" ht="18.75" customHeight="1">
      <c r="A1" s="321" t="s">
        <v>41</v>
      </c>
      <c r="B1" s="324" t="s">
        <v>42</v>
      </c>
      <c r="C1" s="327" t="s">
        <v>43</v>
      </c>
      <c r="D1" s="318" t="s">
        <v>173</v>
      </c>
      <c r="E1" s="319"/>
      <c r="F1" s="319"/>
      <c r="G1" s="319"/>
      <c r="H1" s="319"/>
      <c r="I1" s="319"/>
      <c r="J1" s="319"/>
      <c r="K1" s="319"/>
      <c r="L1" s="320"/>
      <c r="M1" s="299" t="s">
        <v>238</v>
      </c>
      <c r="N1" s="300"/>
      <c r="O1" s="300"/>
      <c r="P1" s="300"/>
      <c r="Q1" s="300"/>
      <c r="R1" s="332" t="s">
        <v>45</v>
      </c>
      <c r="S1" s="330"/>
      <c r="T1" s="330"/>
      <c r="U1" s="330"/>
      <c r="V1" s="331"/>
      <c r="W1" s="329" t="s">
        <v>46</v>
      </c>
      <c r="X1" s="330"/>
      <c r="Y1" s="330"/>
      <c r="Z1" s="330"/>
      <c r="AA1" s="331"/>
      <c r="AB1" s="311" t="s">
        <v>3</v>
      </c>
    </row>
    <row r="2" spans="1:28" s="2" customFormat="1" ht="38.25">
      <c r="A2" s="322"/>
      <c r="B2" s="325"/>
      <c r="C2" s="328"/>
      <c r="D2" s="301" t="s">
        <v>47</v>
      </c>
      <c r="E2" s="307" t="s">
        <v>48</v>
      </c>
      <c r="F2" s="307" t="s">
        <v>49</v>
      </c>
      <c r="G2" s="307" t="s">
        <v>50</v>
      </c>
      <c r="H2" s="307" t="s">
        <v>51</v>
      </c>
      <c r="I2" s="307" t="s">
        <v>52</v>
      </c>
      <c r="J2" s="74" t="s">
        <v>53</v>
      </c>
      <c r="K2" s="307" t="s">
        <v>181</v>
      </c>
      <c r="L2" s="155" t="s">
        <v>243</v>
      </c>
      <c r="M2" s="309" t="s">
        <v>47</v>
      </c>
      <c r="N2" s="303" t="s">
        <v>54</v>
      </c>
      <c r="O2" s="74" t="s">
        <v>53</v>
      </c>
      <c r="P2" s="307" t="s">
        <v>181</v>
      </c>
      <c r="Q2" s="158" t="s">
        <v>243</v>
      </c>
      <c r="R2" s="309" t="s">
        <v>47</v>
      </c>
      <c r="S2" s="303" t="s">
        <v>54</v>
      </c>
      <c r="T2" s="74" t="s">
        <v>53</v>
      </c>
      <c r="U2" s="307" t="s">
        <v>181</v>
      </c>
      <c r="V2" s="157" t="s">
        <v>243</v>
      </c>
      <c r="W2" s="305" t="s">
        <v>47</v>
      </c>
      <c r="X2" s="303" t="s">
        <v>54</v>
      </c>
      <c r="Y2" s="74" t="s">
        <v>53</v>
      </c>
      <c r="Z2" s="307" t="s">
        <v>181</v>
      </c>
      <c r="AA2" s="157" t="s">
        <v>243</v>
      </c>
      <c r="AB2" s="312"/>
    </row>
    <row r="3" spans="1:28" s="2" customFormat="1" ht="15" customHeight="1" thickBot="1">
      <c r="A3" s="323"/>
      <c r="B3" s="326"/>
      <c r="C3" s="328"/>
      <c r="D3" s="302"/>
      <c r="E3" s="308"/>
      <c r="F3" s="308"/>
      <c r="G3" s="308"/>
      <c r="H3" s="308"/>
      <c r="I3" s="308"/>
      <c r="J3" s="134">
        <f>'1 этап проверки ЭфП'!H14</f>
        <v>28201.801999999996</v>
      </c>
      <c r="K3" s="308"/>
      <c r="L3" s="134">
        <f>'1 этап проверки ЭфП'!I3</f>
        <v>34717.966</v>
      </c>
      <c r="M3" s="310"/>
      <c r="N3" s="304"/>
      <c r="O3" s="135">
        <f>'1 этап проверки ЭфП'!B14</f>
        <v>16453.960000000003</v>
      </c>
      <c r="P3" s="308"/>
      <c r="Q3" s="168">
        <f>'1 этап проверки ЭфП'!C3</f>
        <v>22336.640000000003</v>
      </c>
      <c r="R3" s="310"/>
      <c r="S3" s="304"/>
      <c r="T3" s="135">
        <f>'1 этап проверки ЭфП'!D14</f>
        <v>20790.599999999999</v>
      </c>
      <c r="U3" s="308"/>
      <c r="V3" s="159">
        <f>'1 этап проверки ЭфП'!E3</f>
        <v>29288.1</v>
      </c>
      <c r="W3" s="306"/>
      <c r="X3" s="304"/>
      <c r="Y3" s="135">
        <f>'1 этап проверки ЭфП'!F14</f>
        <v>26373.993999999999</v>
      </c>
      <c r="Z3" s="308"/>
      <c r="AA3" s="159">
        <f>'1 этап проверки ЭфП'!G3</f>
        <v>33154.400000000001</v>
      </c>
      <c r="AB3" s="313"/>
    </row>
    <row r="4" spans="1:28">
      <c r="A4" s="145"/>
      <c r="B4" s="146"/>
      <c r="C4" s="169" t="e">
        <f>INDEX('Справочник цен'!$D$3:$D$88,MATCH('Калькулятор затрат'!B4,'Справочник цен'!$C$3:$C$88,0))</f>
        <v>#N/A</v>
      </c>
      <c r="D4" s="170">
        <f>SUMIF('Справочник цен'!$C$2:$C$88,$B4,'Справочник цен'!E$2:E$88)</f>
        <v>0</v>
      </c>
      <c r="E4" s="161" t="e">
        <f>F4/D4</f>
        <v>#DIV/0!</v>
      </c>
      <c r="F4" s="161">
        <f>SUMIF('Справочник цен'!C$3:C$88,B4,'Справочник цен'!F$3:F$88)</f>
        <v>0</v>
      </c>
      <c r="G4" s="161" t="e">
        <f>H4/D4</f>
        <v>#DIV/0!</v>
      </c>
      <c r="H4" s="161">
        <f>SUMIF('Справочник цен'!$C$2:$C$88,$B4,'Справочник цен'!G$2:G$88)</f>
        <v>0</v>
      </c>
      <c r="I4" s="161">
        <f t="shared" ref="I4" si="0">H4+F4</f>
        <v>0</v>
      </c>
      <c r="J4" s="170">
        <f t="shared" ref="J4" si="1">I4/$J$3</f>
        <v>0</v>
      </c>
      <c r="K4" s="170" t="e">
        <f>I4/D4</f>
        <v>#DIV/0!</v>
      </c>
      <c r="L4" s="258">
        <f>D4/$L$3</f>
        <v>0</v>
      </c>
      <c r="M4" s="160" t="e">
        <f>INDEX('Справочник цен'!I$3:I$88,MATCH('Калькулятор затрат'!$B4,'Справочник цен'!$C$3:$C$86,0))</f>
        <v>#N/A</v>
      </c>
      <c r="N4" s="161" t="e">
        <f>INDEX('Справочник цен'!J$3:J$88,MATCH('Калькулятор затрат'!$B4,'Справочник цен'!$C$3:$C$86,0))</f>
        <v>#N/A</v>
      </c>
      <c r="O4" s="161" t="e">
        <f>N4/$O$3</f>
        <v>#N/A</v>
      </c>
      <c r="P4" s="161" t="e">
        <f>N4/M4</f>
        <v>#N/A</v>
      </c>
      <c r="Q4" s="162" t="e">
        <f>M4/$Q$3</f>
        <v>#N/A</v>
      </c>
      <c r="R4" s="172" t="e">
        <f>INDEX('Справочник цен'!K$3:K$88,MATCH('Калькулятор затрат'!$B4,'Справочник цен'!$C$3:$C$86,0))</f>
        <v>#N/A</v>
      </c>
      <c r="S4" s="161" t="e">
        <f>INDEX('Справочник цен'!L$3:L$88,MATCH('Калькулятор затрат'!$B4,'Справочник цен'!$C$3:$C$86,0))</f>
        <v>#N/A</v>
      </c>
      <c r="T4" s="161" t="e">
        <f>S4/$T$3</f>
        <v>#N/A</v>
      </c>
      <c r="U4" s="161" t="e">
        <f>S4/R4</f>
        <v>#N/A</v>
      </c>
      <c r="V4" s="163" t="e">
        <f>R4/$V$3</f>
        <v>#N/A</v>
      </c>
      <c r="W4" s="160" t="e">
        <f>INDEX('Справочник цен'!M$3:M$88,MATCH('Калькулятор затрат'!$B4,'Справочник цен'!$C$3:$C$86,0))</f>
        <v>#N/A</v>
      </c>
      <c r="X4" s="161" t="e">
        <f>INDEX('Справочник цен'!N$3:N$88,MATCH('Калькулятор затрат'!$B4,'Справочник цен'!$C$3:$C$86,0))</f>
        <v>#N/A</v>
      </c>
      <c r="Y4" s="161" t="e">
        <f>X4/$Y$3</f>
        <v>#N/A</v>
      </c>
      <c r="Z4" s="161" t="e">
        <f>X4/W4</f>
        <v>#N/A</v>
      </c>
      <c r="AA4" s="162" t="e">
        <f>W4/$AA$3</f>
        <v>#N/A</v>
      </c>
      <c r="AB4" s="148"/>
    </row>
    <row r="5" spans="1:28">
      <c r="A5" s="140"/>
      <c r="B5" s="144"/>
      <c r="C5" s="142" t="e">
        <f>INDEX('Справочник цен'!$D$3:$D$88,MATCH('Калькулятор затрат'!B5,'Справочник цен'!$C$3:$C$88,0))</f>
        <v>#N/A</v>
      </c>
      <c r="D5" s="154">
        <f>SUMIF('Справочник цен'!$C$2:$C$88,$B5,'Справочник цен'!E$2:E$88)</f>
        <v>0</v>
      </c>
      <c r="E5" s="73" t="e">
        <f t="shared" ref="E5:E68" si="2">F5/D5</f>
        <v>#DIV/0!</v>
      </c>
      <c r="F5" s="73">
        <f>SUMIF('Справочник цен'!C$3:C$88,B5,'Справочник цен'!F$3:F$88)</f>
        <v>0</v>
      </c>
      <c r="G5" s="73" t="e">
        <f t="shared" ref="G5:G68" si="3">H5/D5</f>
        <v>#DIV/0!</v>
      </c>
      <c r="H5" s="73">
        <f>SUMIF('Справочник цен'!$C$2:$C$88,$B5,'Справочник цен'!G$2:G$88)</f>
        <v>0</v>
      </c>
      <c r="I5" s="73">
        <f t="shared" ref="I5:I68" si="4">H5+F5</f>
        <v>0</v>
      </c>
      <c r="J5" s="154">
        <f t="shared" ref="J5:J68" si="5">I5/$J$3</f>
        <v>0</v>
      </c>
      <c r="K5" s="154" t="e">
        <f t="shared" ref="K5:K68" si="6">I5/D5</f>
        <v>#DIV/0!</v>
      </c>
      <c r="L5" s="259">
        <f t="shared" ref="L5:L68" si="7">D5/$L$3</f>
        <v>0</v>
      </c>
      <c r="M5" s="138" t="e">
        <f>INDEX('Справочник цен'!I$3:I$88,MATCH('Калькулятор затрат'!$B5,'Справочник цен'!$C$3:$C$86,0))</f>
        <v>#N/A</v>
      </c>
      <c r="N5" s="73" t="e">
        <f>INDEX('Справочник цен'!J$3:J$88,MATCH('Калькулятор затрат'!$B5,'Справочник цен'!$C$3:$C$86,0))</f>
        <v>#N/A</v>
      </c>
      <c r="O5" s="73" t="e">
        <f t="shared" ref="O5:O68" si="8">N5/$O$3</f>
        <v>#N/A</v>
      </c>
      <c r="P5" s="73" t="e">
        <f t="shared" ref="P5:P68" si="9">N5/M5</f>
        <v>#N/A</v>
      </c>
      <c r="Q5" s="127" t="e">
        <f t="shared" ref="Q5:Q68" si="10">M5/$Q$3</f>
        <v>#N/A</v>
      </c>
      <c r="R5" s="136" t="e">
        <f>INDEX('Справочник цен'!K$3:K$88,MATCH('Калькулятор затрат'!$B5,'Справочник цен'!$C$3:$C$86,0))</f>
        <v>#N/A</v>
      </c>
      <c r="S5" s="73" t="e">
        <f>INDEX('Справочник цен'!L$3:L$88,MATCH('Калькулятор затрат'!$B5,'Справочник цен'!$C$3:$C$86,0))</f>
        <v>#N/A</v>
      </c>
      <c r="T5" s="73" t="e">
        <f t="shared" ref="T5:T68" si="11">S5/$T$3</f>
        <v>#N/A</v>
      </c>
      <c r="U5" s="73" t="e">
        <f t="shared" ref="U5:U68" si="12">S5/R5</f>
        <v>#N/A</v>
      </c>
      <c r="V5" s="125" t="e">
        <f t="shared" ref="V5:V68" si="13">R5/$V$3</f>
        <v>#N/A</v>
      </c>
      <c r="W5" s="138" t="e">
        <f>INDEX('Справочник цен'!M$3:M$88,MATCH('Калькулятор затрат'!$B5,'Справочник цен'!$C$3:$C$86,0))</f>
        <v>#N/A</v>
      </c>
      <c r="X5" s="73" t="e">
        <f>INDEX('Справочник цен'!N$3:N$88,MATCH('Калькулятор затрат'!$B5,'Справочник цен'!$C$3:$C$86,0))</f>
        <v>#N/A</v>
      </c>
      <c r="Y5" s="73" t="e">
        <f t="shared" ref="Y5:Y68" si="14">X5/$Y$3</f>
        <v>#N/A</v>
      </c>
      <c r="Z5" s="73" t="e">
        <f t="shared" ref="Z5:Z68" si="15">X5/W5</f>
        <v>#N/A</v>
      </c>
      <c r="AA5" s="127" t="e">
        <f t="shared" ref="AA5:AA68" si="16">W5/$AA$3</f>
        <v>#N/A</v>
      </c>
      <c r="AB5" s="149"/>
    </row>
    <row r="6" spans="1:28">
      <c r="A6" s="140"/>
      <c r="B6" s="144"/>
      <c r="C6" s="142" t="e">
        <f>INDEX('Справочник цен'!$D$3:$D$88,MATCH('Калькулятор затрат'!B6,'Справочник цен'!$C$3:$C$88,0))</f>
        <v>#N/A</v>
      </c>
      <c r="D6" s="154">
        <f>SUMIF('Справочник цен'!$C$2:$C$88,$B6,'Справочник цен'!E$2:E$88)</f>
        <v>0</v>
      </c>
      <c r="E6" s="73" t="e">
        <f t="shared" si="2"/>
        <v>#DIV/0!</v>
      </c>
      <c r="F6" s="73">
        <f>SUMIF('Справочник цен'!C$3:C$88,B6,'Справочник цен'!F$3:F$88)</f>
        <v>0</v>
      </c>
      <c r="G6" s="73" t="e">
        <f t="shared" si="3"/>
        <v>#DIV/0!</v>
      </c>
      <c r="H6" s="73">
        <f>SUMIF('Справочник цен'!$C$2:$C$88,$B6,'Справочник цен'!G$2:G$88)</f>
        <v>0</v>
      </c>
      <c r="I6" s="73">
        <f t="shared" si="4"/>
        <v>0</v>
      </c>
      <c r="J6" s="154">
        <f t="shared" si="5"/>
        <v>0</v>
      </c>
      <c r="K6" s="154" t="e">
        <f t="shared" si="6"/>
        <v>#DIV/0!</v>
      </c>
      <c r="L6" s="259">
        <f t="shared" si="7"/>
        <v>0</v>
      </c>
      <c r="M6" s="138" t="e">
        <f>INDEX('Справочник цен'!I$3:I$88,MATCH('Калькулятор затрат'!$B6,'Справочник цен'!$C$3:$C$86,0))</f>
        <v>#N/A</v>
      </c>
      <c r="N6" s="73" t="e">
        <f>INDEX('Справочник цен'!J$3:J$88,MATCH('Калькулятор затрат'!$B6,'Справочник цен'!$C$3:$C$86,0))</f>
        <v>#N/A</v>
      </c>
      <c r="O6" s="73" t="e">
        <f t="shared" si="8"/>
        <v>#N/A</v>
      </c>
      <c r="P6" s="73" t="e">
        <f t="shared" si="9"/>
        <v>#N/A</v>
      </c>
      <c r="Q6" s="127" t="e">
        <f t="shared" si="10"/>
        <v>#N/A</v>
      </c>
      <c r="R6" s="136" t="e">
        <f>INDEX('Справочник цен'!K$3:K$88,MATCH('Калькулятор затрат'!$B6,'Справочник цен'!$C$3:$C$86,0))</f>
        <v>#N/A</v>
      </c>
      <c r="S6" s="73" t="e">
        <f>INDEX('Справочник цен'!L$3:L$88,MATCH('Калькулятор затрат'!$B6,'Справочник цен'!$C$3:$C$86,0))</f>
        <v>#N/A</v>
      </c>
      <c r="T6" s="73" t="e">
        <f t="shared" si="11"/>
        <v>#N/A</v>
      </c>
      <c r="U6" s="73" t="e">
        <f t="shared" si="12"/>
        <v>#N/A</v>
      </c>
      <c r="V6" s="125" t="e">
        <f t="shared" si="13"/>
        <v>#N/A</v>
      </c>
      <c r="W6" s="138" t="e">
        <f>INDEX('Справочник цен'!M$3:M$88,MATCH('Калькулятор затрат'!$B6,'Справочник цен'!$C$3:$C$86,0))</f>
        <v>#N/A</v>
      </c>
      <c r="X6" s="73" t="e">
        <f>INDEX('Справочник цен'!N$3:N$88,MATCH('Калькулятор затрат'!$B6,'Справочник цен'!$C$3:$C$86,0))</f>
        <v>#N/A</v>
      </c>
      <c r="Y6" s="73" t="e">
        <f t="shared" si="14"/>
        <v>#N/A</v>
      </c>
      <c r="Z6" s="73" t="e">
        <f t="shared" si="15"/>
        <v>#N/A</v>
      </c>
      <c r="AA6" s="127" t="e">
        <f t="shared" si="16"/>
        <v>#N/A</v>
      </c>
      <c r="AB6" s="149"/>
    </row>
    <row r="7" spans="1:28">
      <c r="A7" s="140"/>
      <c r="B7" s="144"/>
      <c r="C7" s="142" t="e">
        <f>INDEX('Справочник цен'!$D$3:$D$88,MATCH('Калькулятор затрат'!B7,'Справочник цен'!$C$3:$C$88,0))</f>
        <v>#N/A</v>
      </c>
      <c r="D7" s="154">
        <f>SUMIF('Справочник цен'!$C$2:$C$88,$B7,'Справочник цен'!E$2:E$88)</f>
        <v>0</v>
      </c>
      <c r="E7" s="73" t="e">
        <f t="shared" si="2"/>
        <v>#DIV/0!</v>
      </c>
      <c r="F7" s="73">
        <f>SUMIF('Справочник цен'!C$3:C$88,B7,'Справочник цен'!F$3:F$88)</f>
        <v>0</v>
      </c>
      <c r="G7" s="73" t="e">
        <f t="shared" si="3"/>
        <v>#DIV/0!</v>
      </c>
      <c r="H7" s="73">
        <f>SUMIF('Справочник цен'!$C$2:$C$88,$B7,'Справочник цен'!G$2:G$88)</f>
        <v>0</v>
      </c>
      <c r="I7" s="73">
        <f t="shared" si="4"/>
        <v>0</v>
      </c>
      <c r="J7" s="154">
        <f t="shared" si="5"/>
        <v>0</v>
      </c>
      <c r="K7" s="154" t="e">
        <f t="shared" si="6"/>
        <v>#DIV/0!</v>
      </c>
      <c r="L7" s="259">
        <f t="shared" si="7"/>
        <v>0</v>
      </c>
      <c r="M7" s="138" t="e">
        <f>INDEX('Справочник цен'!I$3:I$88,MATCH('Калькулятор затрат'!$B7,'Справочник цен'!$C$3:$C$86,0))</f>
        <v>#N/A</v>
      </c>
      <c r="N7" s="73" t="e">
        <f>INDEX('Справочник цен'!J$3:J$88,MATCH('Калькулятор затрат'!$B7,'Справочник цен'!$C$3:$C$86,0))</f>
        <v>#N/A</v>
      </c>
      <c r="O7" s="73" t="e">
        <f t="shared" si="8"/>
        <v>#N/A</v>
      </c>
      <c r="P7" s="73" t="e">
        <f t="shared" si="9"/>
        <v>#N/A</v>
      </c>
      <c r="Q7" s="127" t="e">
        <f t="shared" si="10"/>
        <v>#N/A</v>
      </c>
      <c r="R7" s="136" t="e">
        <f>INDEX('Справочник цен'!K$3:K$88,MATCH('Калькулятор затрат'!$B7,'Справочник цен'!$C$3:$C$86,0))</f>
        <v>#N/A</v>
      </c>
      <c r="S7" s="73" t="e">
        <f>INDEX('Справочник цен'!L$3:L$88,MATCH('Калькулятор затрат'!$B7,'Справочник цен'!$C$3:$C$86,0))</f>
        <v>#N/A</v>
      </c>
      <c r="T7" s="73" t="e">
        <f t="shared" si="11"/>
        <v>#N/A</v>
      </c>
      <c r="U7" s="73" t="e">
        <f t="shared" si="12"/>
        <v>#N/A</v>
      </c>
      <c r="V7" s="125" t="e">
        <f t="shared" si="13"/>
        <v>#N/A</v>
      </c>
      <c r="W7" s="138" t="e">
        <f>INDEX('Справочник цен'!M$3:M$88,MATCH('Калькулятор затрат'!$B7,'Справочник цен'!$C$3:$C$86,0))</f>
        <v>#N/A</v>
      </c>
      <c r="X7" s="73" t="e">
        <f>INDEX('Справочник цен'!N$3:N$88,MATCH('Калькулятор затрат'!$B7,'Справочник цен'!$C$3:$C$86,0))</f>
        <v>#N/A</v>
      </c>
      <c r="Y7" s="73" t="e">
        <f t="shared" si="14"/>
        <v>#N/A</v>
      </c>
      <c r="Z7" s="73" t="e">
        <f t="shared" si="15"/>
        <v>#N/A</v>
      </c>
      <c r="AA7" s="127" t="e">
        <f t="shared" si="16"/>
        <v>#N/A</v>
      </c>
      <c r="AB7" s="149"/>
    </row>
    <row r="8" spans="1:28">
      <c r="A8" s="140"/>
      <c r="B8" s="144"/>
      <c r="C8" s="142" t="e">
        <f>INDEX('Справочник цен'!$D$3:$D$88,MATCH('Калькулятор затрат'!B8,'Справочник цен'!$C$3:$C$88,0))</f>
        <v>#N/A</v>
      </c>
      <c r="D8" s="154">
        <f>SUMIF('Справочник цен'!$C$2:$C$88,$B8,'Справочник цен'!E$2:E$88)</f>
        <v>0</v>
      </c>
      <c r="E8" s="73" t="e">
        <f t="shared" si="2"/>
        <v>#DIV/0!</v>
      </c>
      <c r="F8" s="73">
        <f>SUMIF('Справочник цен'!C$3:C$88,B8,'Справочник цен'!F$3:F$88)</f>
        <v>0</v>
      </c>
      <c r="G8" s="73" t="e">
        <f t="shared" si="3"/>
        <v>#DIV/0!</v>
      </c>
      <c r="H8" s="73">
        <f>SUMIF('Справочник цен'!$C$2:$C$88,$B8,'Справочник цен'!G$2:G$88)</f>
        <v>0</v>
      </c>
      <c r="I8" s="73">
        <f t="shared" si="4"/>
        <v>0</v>
      </c>
      <c r="J8" s="154">
        <f t="shared" si="5"/>
        <v>0</v>
      </c>
      <c r="K8" s="154" t="e">
        <f t="shared" si="6"/>
        <v>#DIV/0!</v>
      </c>
      <c r="L8" s="259">
        <f t="shared" si="7"/>
        <v>0</v>
      </c>
      <c r="M8" s="138" t="e">
        <f>INDEX('Справочник цен'!I$3:I$88,MATCH('Калькулятор затрат'!$B8,'Справочник цен'!$C$3:$C$86,0))</f>
        <v>#N/A</v>
      </c>
      <c r="N8" s="73" t="e">
        <f>INDEX('Справочник цен'!J$3:J$88,MATCH('Калькулятор затрат'!$B8,'Справочник цен'!$C$3:$C$86,0))</f>
        <v>#N/A</v>
      </c>
      <c r="O8" s="73" t="e">
        <f t="shared" si="8"/>
        <v>#N/A</v>
      </c>
      <c r="P8" s="73" t="e">
        <f t="shared" si="9"/>
        <v>#N/A</v>
      </c>
      <c r="Q8" s="127" t="e">
        <f t="shared" si="10"/>
        <v>#N/A</v>
      </c>
      <c r="R8" s="136" t="e">
        <f>INDEX('Справочник цен'!K$3:K$88,MATCH('Калькулятор затрат'!$B8,'Справочник цен'!$C$3:$C$86,0))</f>
        <v>#N/A</v>
      </c>
      <c r="S8" s="73" t="e">
        <f>INDEX('Справочник цен'!L$3:L$88,MATCH('Калькулятор затрат'!$B8,'Справочник цен'!$C$3:$C$86,0))</f>
        <v>#N/A</v>
      </c>
      <c r="T8" s="73" t="e">
        <f t="shared" si="11"/>
        <v>#N/A</v>
      </c>
      <c r="U8" s="73" t="e">
        <f t="shared" si="12"/>
        <v>#N/A</v>
      </c>
      <c r="V8" s="125" t="e">
        <f t="shared" si="13"/>
        <v>#N/A</v>
      </c>
      <c r="W8" s="138" t="e">
        <f>INDEX('Справочник цен'!M$3:M$88,MATCH('Калькулятор затрат'!$B8,'Справочник цен'!$C$3:$C$86,0))</f>
        <v>#N/A</v>
      </c>
      <c r="X8" s="73" t="e">
        <f>INDEX('Справочник цен'!N$3:N$88,MATCH('Калькулятор затрат'!$B8,'Справочник цен'!$C$3:$C$86,0))</f>
        <v>#N/A</v>
      </c>
      <c r="Y8" s="73" t="e">
        <f t="shared" si="14"/>
        <v>#N/A</v>
      </c>
      <c r="Z8" s="73" t="e">
        <f t="shared" si="15"/>
        <v>#N/A</v>
      </c>
      <c r="AA8" s="127" t="e">
        <f t="shared" si="16"/>
        <v>#N/A</v>
      </c>
      <c r="AB8" s="149"/>
    </row>
    <row r="9" spans="1:28">
      <c r="A9" s="140"/>
      <c r="B9" s="144"/>
      <c r="C9" s="142" t="e">
        <f>INDEX('Справочник цен'!$D$3:$D$88,MATCH('Калькулятор затрат'!B9,'Справочник цен'!$C$3:$C$88,0))</f>
        <v>#N/A</v>
      </c>
      <c r="D9" s="154">
        <f>SUMIF('Справочник цен'!$C$2:$C$88,$B9,'Справочник цен'!E$2:E$88)</f>
        <v>0</v>
      </c>
      <c r="E9" s="73" t="e">
        <f t="shared" si="2"/>
        <v>#DIV/0!</v>
      </c>
      <c r="F9" s="73">
        <f>SUMIF('Справочник цен'!C$3:C$88,B9,'Справочник цен'!F$3:F$88)</f>
        <v>0</v>
      </c>
      <c r="G9" s="73" t="e">
        <f t="shared" si="3"/>
        <v>#DIV/0!</v>
      </c>
      <c r="H9" s="73">
        <f>SUMIF('Справочник цен'!$C$2:$C$88,$B9,'Справочник цен'!G$2:G$88)</f>
        <v>0</v>
      </c>
      <c r="I9" s="73">
        <f t="shared" si="4"/>
        <v>0</v>
      </c>
      <c r="J9" s="154">
        <f t="shared" si="5"/>
        <v>0</v>
      </c>
      <c r="K9" s="154" t="e">
        <f t="shared" si="6"/>
        <v>#DIV/0!</v>
      </c>
      <c r="L9" s="259">
        <f t="shared" si="7"/>
        <v>0</v>
      </c>
      <c r="M9" s="138" t="e">
        <f>INDEX('Справочник цен'!I$3:I$88,MATCH('Калькулятор затрат'!$B9,'Справочник цен'!$C$3:$C$86,0))</f>
        <v>#N/A</v>
      </c>
      <c r="N9" s="73" t="e">
        <f>INDEX('Справочник цен'!J$3:J$88,MATCH('Калькулятор затрат'!$B9,'Справочник цен'!$C$3:$C$86,0))</f>
        <v>#N/A</v>
      </c>
      <c r="O9" s="73" t="e">
        <f t="shared" si="8"/>
        <v>#N/A</v>
      </c>
      <c r="P9" s="73" t="e">
        <f t="shared" si="9"/>
        <v>#N/A</v>
      </c>
      <c r="Q9" s="127" t="e">
        <f t="shared" si="10"/>
        <v>#N/A</v>
      </c>
      <c r="R9" s="136" t="e">
        <f>INDEX('Справочник цен'!K$3:K$88,MATCH('Калькулятор затрат'!$B9,'Справочник цен'!$C$3:$C$86,0))</f>
        <v>#N/A</v>
      </c>
      <c r="S9" s="73" t="e">
        <f>INDEX('Справочник цен'!L$3:L$88,MATCH('Калькулятор затрат'!$B9,'Справочник цен'!$C$3:$C$86,0))</f>
        <v>#N/A</v>
      </c>
      <c r="T9" s="73" t="e">
        <f t="shared" si="11"/>
        <v>#N/A</v>
      </c>
      <c r="U9" s="73" t="e">
        <f t="shared" si="12"/>
        <v>#N/A</v>
      </c>
      <c r="V9" s="125" t="e">
        <f t="shared" si="13"/>
        <v>#N/A</v>
      </c>
      <c r="W9" s="138" t="e">
        <f>INDEX('Справочник цен'!M$3:M$88,MATCH('Калькулятор затрат'!$B9,'Справочник цен'!$C$3:$C$86,0))</f>
        <v>#N/A</v>
      </c>
      <c r="X9" s="73" t="e">
        <f>INDEX('Справочник цен'!N$3:N$88,MATCH('Калькулятор затрат'!$B9,'Справочник цен'!$C$3:$C$86,0))</f>
        <v>#N/A</v>
      </c>
      <c r="Y9" s="73" t="e">
        <f t="shared" si="14"/>
        <v>#N/A</v>
      </c>
      <c r="Z9" s="73" t="e">
        <f t="shared" si="15"/>
        <v>#N/A</v>
      </c>
      <c r="AA9" s="127" t="e">
        <f t="shared" si="16"/>
        <v>#N/A</v>
      </c>
      <c r="AB9" s="149"/>
    </row>
    <row r="10" spans="1:28">
      <c r="A10" s="140"/>
      <c r="B10" s="144"/>
      <c r="C10" s="142" t="e">
        <f>INDEX('Справочник цен'!$D$3:$D$88,MATCH('Калькулятор затрат'!B10,'Справочник цен'!$C$3:$C$88,0))</f>
        <v>#N/A</v>
      </c>
      <c r="D10" s="154">
        <f>SUMIF('Справочник цен'!$C$2:$C$88,$B10,'Справочник цен'!E$2:E$88)</f>
        <v>0</v>
      </c>
      <c r="E10" s="73" t="e">
        <f t="shared" si="2"/>
        <v>#DIV/0!</v>
      </c>
      <c r="F10" s="73">
        <f>SUMIF('Справочник цен'!C$3:C$88,B10,'Справочник цен'!F$3:F$88)</f>
        <v>0</v>
      </c>
      <c r="G10" s="73" t="e">
        <f t="shared" si="3"/>
        <v>#DIV/0!</v>
      </c>
      <c r="H10" s="73">
        <f>SUMIF('Справочник цен'!$C$2:$C$88,$B10,'Справочник цен'!G$2:G$88)</f>
        <v>0</v>
      </c>
      <c r="I10" s="73">
        <f t="shared" si="4"/>
        <v>0</v>
      </c>
      <c r="J10" s="154">
        <f t="shared" si="5"/>
        <v>0</v>
      </c>
      <c r="K10" s="154" t="e">
        <f t="shared" si="6"/>
        <v>#DIV/0!</v>
      </c>
      <c r="L10" s="259">
        <f t="shared" si="7"/>
        <v>0</v>
      </c>
      <c r="M10" s="138" t="e">
        <f>INDEX('Справочник цен'!I$3:I$88,MATCH('Калькулятор затрат'!$B10,'Справочник цен'!$C$3:$C$86,0))</f>
        <v>#N/A</v>
      </c>
      <c r="N10" s="73" t="e">
        <f>INDEX('Справочник цен'!J$3:J$88,MATCH('Калькулятор затрат'!$B10,'Справочник цен'!$C$3:$C$86,0))</f>
        <v>#N/A</v>
      </c>
      <c r="O10" s="73" t="e">
        <f t="shared" si="8"/>
        <v>#N/A</v>
      </c>
      <c r="P10" s="73" t="e">
        <f t="shared" si="9"/>
        <v>#N/A</v>
      </c>
      <c r="Q10" s="127" t="e">
        <f t="shared" si="10"/>
        <v>#N/A</v>
      </c>
      <c r="R10" s="136" t="e">
        <f>INDEX('Справочник цен'!K$3:K$88,MATCH('Калькулятор затрат'!$B10,'Справочник цен'!$C$3:$C$86,0))</f>
        <v>#N/A</v>
      </c>
      <c r="S10" s="73" t="e">
        <f>INDEX('Справочник цен'!L$3:L$88,MATCH('Калькулятор затрат'!$B10,'Справочник цен'!$C$3:$C$86,0))</f>
        <v>#N/A</v>
      </c>
      <c r="T10" s="73" t="e">
        <f t="shared" si="11"/>
        <v>#N/A</v>
      </c>
      <c r="U10" s="73" t="e">
        <f t="shared" si="12"/>
        <v>#N/A</v>
      </c>
      <c r="V10" s="125" t="e">
        <f t="shared" si="13"/>
        <v>#N/A</v>
      </c>
      <c r="W10" s="138" t="e">
        <f>INDEX('Справочник цен'!M$3:M$88,MATCH('Калькулятор затрат'!$B10,'Справочник цен'!$C$3:$C$86,0))</f>
        <v>#N/A</v>
      </c>
      <c r="X10" s="73" t="e">
        <f>INDEX('Справочник цен'!N$3:N$88,MATCH('Калькулятор затрат'!$B10,'Справочник цен'!$C$3:$C$86,0))</f>
        <v>#N/A</v>
      </c>
      <c r="Y10" s="73" t="e">
        <f t="shared" si="14"/>
        <v>#N/A</v>
      </c>
      <c r="Z10" s="73" t="e">
        <f t="shared" si="15"/>
        <v>#N/A</v>
      </c>
      <c r="AA10" s="127" t="e">
        <f t="shared" si="16"/>
        <v>#N/A</v>
      </c>
      <c r="AB10" s="149"/>
    </row>
    <row r="11" spans="1:28">
      <c r="A11" s="140"/>
      <c r="B11" s="144"/>
      <c r="C11" s="142" t="e">
        <f>INDEX('Справочник цен'!$D$3:$D$88,MATCH('Калькулятор затрат'!B11,'Справочник цен'!$C$3:$C$88,0))</f>
        <v>#N/A</v>
      </c>
      <c r="D11" s="154">
        <f>SUMIF('Справочник цен'!$C$2:$C$88,$B11,'Справочник цен'!E$2:E$88)</f>
        <v>0</v>
      </c>
      <c r="E11" s="73" t="e">
        <f t="shared" si="2"/>
        <v>#DIV/0!</v>
      </c>
      <c r="F11" s="73">
        <f>SUMIF('Справочник цен'!C$3:C$88,B11,'Справочник цен'!F$3:F$88)</f>
        <v>0</v>
      </c>
      <c r="G11" s="73" t="e">
        <f t="shared" si="3"/>
        <v>#DIV/0!</v>
      </c>
      <c r="H11" s="73">
        <f>SUMIF('Справочник цен'!$C$2:$C$88,$B11,'Справочник цен'!G$2:G$88)</f>
        <v>0</v>
      </c>
      <c r="I11" s="73">
        <f t="shared" si="4"/>
        <v>0</v>
      </c>
      <c r="J11" s="154">
        <f t="shared" si="5"/>
        <v>0</v>
      </c>
      <c r="K11" s="154" t="e">
        <f t="shared" si="6"/>
        <v>#DIV/0!</v>
      </c>
      <c r="L11" s="259">
        <f t="shared" si="7"/>
        <v>0</v>
      </c>
      <c r="M11" s="138" t="e">
        <f>INDEX('Справочник цен'!I$3:I$88,MATCH('Калькулятор затрат'!$B11,'Справочник цен'!$C$3:$C$86,0))</f>
        <v>#N/A</v>
      </c>
      <c r="N11" s="73" t="e">
        <f>INDEX('Справочник цен'!J$3:J$88,MATCH('Калькулятор затрат'!$B11,'Справочник цен'!$C$3:$C$86,0))</f>
        <v>#N/A</v>
      </c>
      <c r="O11" s="73" t="e">
        <f t="shared" si="8"/>
        <v>#N/A</v>
      </c>
      <c r="P11" s="73" t="e">
        <f t="shared" si="9"/>
        <v>#N/A</v>
      </c>
      <c r="Q11" s="127" t="e">
        <f t="shared" si="10"/>
        <v>#N/A</v>
      </c>
      <c r="R11" s="136" t="e">
        <f>INDEX('Справочник цен'!K$3:K$88,MATCH('Калькулятор затрат'!$B11,'Справочник цен'!$C$3:$C$86,0))</f>
        <v>#N/A</v>
      </c>
      <c r="S11" s="73" t="e">
        <f>INDEX('Справочник цен'!L$3:L$88,MATCH('Калькулятор затрат'!$B11,'Справочник цен'!$C$3:$C$86,0))</f>
        <v>#N/A</v>
      </c>
      <c r="T11" s="73" t="e">
        <f t="shared" si="11"/>
        <v>#N/A</v>
      </c>
      <c r="U11" s="73" t="e">
        <f t="shared" si="12"/>
        <v>#N/A</v>
      </c>
      <c r="V11" s="125" t="e">
        <f t="shared" si="13"/>
        <v>#N/A</v>
      </c>
      <c r="W11" s="138" t="e">
        <f>INDEX('Справочник цен'!M$3:M$88,MATCH('Калькулятор затрат'!$B11,'Справочник цен'!$C$3:$C$86,0))</f>
        <v>#N/A</v>
      </c>
      <c r="X11" s="73" t="e">
        <f>INDEX('Справочник цен'!N$3:N$88,MATCH('Калькулятор затрат'!$B11,'Справочник цен'!$C$3:$C$86,0))</f>
        <v>#N/A</v>
      </c>
      <c r="Y11" s="73" t="e">
        <f t="shared" si="14"/>
        <v>#N/A</v>
      </c>
      <c r="Z11" s="73" t="e">
        <f t="shared" si="15"/>
        <v>#N/A</v>
      </c>
      <c r="AA11" s="127" t="e">
        <f t="shared" si="16"/>
        <v>#N/A</v>
      </c>
      <c r="AB11" s="149"/>
    </row>
    <row r="12" spans="1:28">
      <c r="A12" s="140"/>
      <c r="B12" s="144"/>
      <c r="C12" s="142" t="e">
        <f>INDEX('Справочник цен'!$D$3:$D$88,MATCH('Калькулятор затрат'!B12,'Справочник цен'!$C$3:$C$88,0))</f>
        <v>#N/A</v>
      </c>
      <c r="D12" s="154">
        <f>SUMIF('Справочник цен'!$C$2:$C$88,$B12,'Справочник цен'!E$2:E$88)</f>
        <v>0</v>
      </c>
      <c r="E12" s="73" t="e">
        <f t="shared" si="2"/>
        <v>#DIV/0!</v>
      </c>
      <c r="F12" s="73">
        <f>SUMIF('Справочник цен'!C$3:C$88,B12,'Справочник цен'!F$3:F$88)</f>
        <v>0</v>
      </c>
      <c r="G12" s="73" t="e">
        <f t="shared" si="3"/>
        <v>#DIV/0!</v>
      </c>
      <c r="H12" s="73">
        <f>SUMIF('Справочник цен'!$C$2:$C$88,$B12,'Справочник цен'!G$2:G$88)</f>
        <v>0</v>
      </c>
      <c r="I12" s="73">
        <f t="shared" si="4"/>
        <v>0</v>
      </c>
      <c r="J12" s="154">
        <f t="shared" si="5"/>
        <v>0</v>
      </c>
      <c r="K12" s="154" t="e">
        <f t="shared" si="6"/>
        <v>#DIV/0!</v>
      </c>
      <c r="L12" s="259">
        <f t="shared" si="7"/>
        <v>0</v>
      </c>
      <c r="M12" s="138" t="e">
        <f>INDEX('Справочник цен'!I$3:I$88,MATCH('Калькулятор затрат'!$B12,'Справочник цен'!$C$3:$C$86,0))</f>
        <v>#N/A</v>
      </c>
      <c r="N12" s="73" t="e">
        <f>INDEX('Справочник цен'!J$3:J$88,MATCH('Калькулятор затрат'!$B12,'Справочник цен'!$C$3:$C$86,0))</f>
        <v>#N/A</v>
      </c>
      <c r="O12" s="73" t="e">
        <f t="shared" si="8"/>
        <v>#N/A</v>
      </c>
      <c r="P12" s="73" t="e">
        <f t="shared" si="9"/>
        <v>#N/A</v>
      </c>
      <c r="Q12" s="127" t="e">
        <f t="shared" si="10"/>
        <v>#N/A</v>
      </c>
      <c r="R12" s="136" t="e">
        <f>INDEX('Справочник цен'!K$3:K$88,MATCH('Калькулятор затрат'!$B12,'Справочник цен'!$C$3:$C$86,0))</f>
        <v>#N/A</v>
      </c>
      <c r="S12" s="73" t="e">
        <f>INDEX('Справочник цен'!L$3:L$88,MATCH('Калькулятор затрат'!$B12,'Справочник цен'!$C$3:$C$86,0))</f>
        <v>#N/A</v>
      </c>
      <c r="T12" s="73" t="e">
        <f t="shared" si="11"/>
        <v>#N/A</v>
      </c>
      <c r="U12" s="73" t="e">
        <f t="shared" si="12"/>
        <v>#N/A</v>
      </c>
      <c r="V12" s="125" t="e">
        <f t="shared" si="13"/>
        <v>#N/A</v>
      </c>
      <c r="W12" s="138" t="e">
        <f>INDEX('Справочник цен'!M$3:M$88,MATCH('Калькулятор затрат'!$B12,'Справочник цен'!$C$3:$C$86,0))</f>
        <v>#N/A</v>
      </c>
      <c r="X12" s="73" t="e">
        <f>INDEX('Справочник цен'!N$3:N$88,MATCH('Калькулятор затрат'!$B12,'Справочник цен'!$C$3:$C$86,0))</f>
        <v>#N/A</v>
      </c>
      <c r="Y12" s="73" t="e">
        <f t="shared" si="14"/>
        <v>#N/A</v>
      </c>
      <c r="Z12" s="73" t="e">
        <f t="shared" si="15"/>
        <v>#N/A</v>
      </c>
      <c r="AA12" s="127" t="e">
        <f t="shared" si="16"/>
        <v>#N/A</v>
      </c>
      <c r="AB12" s="149"/>
    </row>
    <row r="13" spans="1:28">
      <c r="A13" s="140"/>
      <c r="B13" s="144"/>
      <c r="C13" s="142" t="e">
        <f>INDEX('Справочник цен'!$D$3:$D$88,MATCH('Калькулятор затрат'!B13,'Справочник цен'!$C$3:$C$88,0))</f>
        <v>#N/A</v>
      </c>
      <c r="D13" s="154">
        <f>SUMIF('Справочник цен'!$C$2:$C$88,$B13,'Справочник цен'!E$2:E$88)</f>
        <v>0</v>
      </c>
      <c r="E13" s="73" t="e">
        <f t="shared" si="2"/>
        <v>#DIV/0!</v>
      </c>
      <c r="F13" s="73">
        <f>SUMIF('Справочник цен'!C$3:C$88,B13,'Справочник цен'!F$3:F$88)</f>
        <v>0</v>
      </c>
      <c r="G13" s="73" t="e">
        <f t="shared" si="3"/>
        <v>#DIV/0!</v>
      </c>
      <c r="H13" s="73">
        <f>SUMIF('Справочник цен'!$C$2:$C$88,$B13,'Справочник цен'!G$2:G$88)</f>
        <v>0</v>
      </c>
      <c r="I13" s="73">
        <f t="shared" si="4"/>
        <v>0</v>
      </c>
      <c r="J13" s="154">
        <f t="shared" si="5"/>
        <v>0</v>
      </c>
      <c r="K13" s="154" t="e">
        <f t="shared" si="6"/>
        <v>#DIV/0!</v>
      </c>
      <c r="L13" s="259">
        <f t="shared" si="7"/>
        <v>0</v>
      </c>
      <c r="M13" s="138" t="e">
        <f>INDEX('Справочник цен'!I$3:I$88,MATCH('Калькулятор затрат'!$B13,'Справочник цен'!$C$3:$C$86,0))</f>
        <v>#N/A</v>
      </c>
      <c r="N13" s="73" t="e">
        <f>INDEX('Справочник цен'!J$3:J$88,MATCH('Калькулятор затрат'!$B13,'Справочник цен'!$C$3:$C$86,0))</f>
        <v>#N/A</v>
      </c>
      <c r="O13" s="73" t="e">
        <f t="shared" si="8"/>
        <v>#N/A</v>
      </c>
      <c r="P13" s="73" t="e">
        <f t="shared" si="9"/>
        <v>#N/A</v>
      </c>
      <c r="Q13" s="127" t="e">
        <f t="shared" si="10"/>
        <v>#N/A</v>
      </c>
      <c r="R13" s="136" t="e">
        <f>INDEX('Справочник цен'!K$3:K$88,MATCH('Калькулятор затрат'!$B13,'Справочник цен'!$C$3:$C$86,0))</f>
        <v>#N/A</v>
      </c>
      <c r="S13" s="73" t="e">
        <f>INDEX('Справочник цен'!L$3:L$88,MATCH('Калькулятор затрат'!$B13,'Справочник цен'!$C$3:$C$86,0))</f>
        <v>#N/A</v>
      </c>
      <c r="T13" s="73" t="e">
        <f t="shared" si="11"/>
        <v>#N/A</v>
      </c>
      <c r="U13" s="73" t="e">
        <f t="shared" si="12"/>
        <v>#N/A</v>
      </c>
      <c r="V13" s="125" t="e">
        <f t="shared" si="13"/>
        <v>#N/A</v>
      </c>
      <c r="W13" s="138" t="e">
        <f>INDEX('Справочник цен'!M$3:M$88,MATCH('Калькулятор затрат'!$B13,'Справочник цен'!$C$3:$C$86,0))</f>
        <v>#N/A</v>
      </c>
      <c r="X13" s="73" t="e">
        <f>INDEX('Справочник цен'!N$3:N$88,MATCH('Калькулятор затрат'!$B13,'Справочник цен'!$C$3:$C$86,0))</f>
        <v>#N/A</v>
      </c>
      <c r="Y13" s="73" t="e">
        <f t="shared" si="14"/>
        <v>#N/A</v>
      </c>
      <c r="Z13" s="73" t="e">
        <f t="shared" si="15"/>
        <v>#N/A</v>
      </c>
      <c r="AA13" s="127" t="e">
        <f t="shared" si="16"/>
        <v>#N/A</v>
      </c>
      <c r="AB13" s="149"/>
    </row>
    <row r="14" spans="1:28">
      <c r="A14" s="140"/>
      <c r="B14" s="144"/>
      <c r="C14" s="142" t="e">
        <f>INDEX('Справочник цен'!$D$3:$D$88,MATCH('Калькулятор затрат'!B14,'Справочник цен'!$C$3:$C$88,0))</f>
        <v>#N/A</v>
      </c>
      <c r="D14" s="154">
        <f>SUMIF('Справочник цен'!$C$2:$C$88,$B14,'Справочник цен'!E$2:E$88)</f>
        <v>0</v>
      </c>
      <c r="E14" s="73" t="e">
        <f t="shared" si="2"/>
        <v>#DIV/0!</v>
      </c>
      <c r="F14" s="73">
        <f>SUMIF('Справочник цен'!C$3:C$88,B14,'Справочник цен'!F$3:F$88)</f>
        <v>0</v>
      </c>
      <c r="G14" s="73" t="e">
        <f t="shared" si="3"/>
        <v>#DIV/0!</v>
      </c>
      <c r="H14" s="73">
        <f>SUMIF('Справочник цен'!$C$2:$C$88,$B14,'Справочник цен'!G$2:G$88)</f>
        <v>0</v>
      </c>
      <c r="I14" s="73">
        <f t="shared" si="4"/>
        <v>0</v>
      </c>
      <c r="J14" s="154">
        <f t="shared" si="5"/>
        <v>0</v>
      </c>
      <c r="K14" s="154" t="e">
        <f t="shared" si="6"/>
        <v>#DIV/0!</v>
      </c>
      <c r="L14" s="259">
        <f t="shared" si="7"/>
        <v>0</v>
      </c>
      <c r="M14" s="138" t="e">
        <f>INDEX('Справочник цен'!I$3:I$88,MATCH('Калькулятор затрат'!$B14,'Справочник цен'!$C$3:$C$86,0))</f>
        <v>#N/A</v>
      </c>
      <c r="N14" s="73" t="e">
        <f>INDEX('Справочник цен'!J$3:J$88,MATCH('Калькулятор затрат'!$B14,'Справочник цен'!$C$3:$C$86,0))</f>
        <v>#N/A</v>
      </c>
      <c r="O14" s="73" t="e">
        <f t="shared" si="8"/>
        <v>#N/A</v>
      </c>
      <c r="P14" s="73" t="e">
        <f t="shared" si="9"/>
        <v>#N/A</v>
      </c>
      <c r="Q14" s="127" t="e">
        <f t="shared" si="10"/>
        <v>#N/A</v>
      </c>
      <c r="R14" s="136" t="e">
        <f>INDEX('Справочник цен'!K$3:K$88,MATCH('Калькулятор затрат'!$B14,'Справочник цен'!$C$3:$C$86,0))</f>
        <v>#N/A</v>
      </c>
      <c r="S14" s="73" t="e">
        <f>INDEX('Справочник цен'!L$3:L$88,MATCH('Калькулятор затрат'!$B14,'Справочник цен'!$C$3:$C$86,0))</f>
        <v>#N/A</v>
      </c>
      <c r="T14" s="73" t="e">
        <f t="shared" si="11"/>
        <v>#N/A</v>
      </c>
      <c r="U14" s="73" t="e">
        <f t="shared" si="12"/>
        <v>#N/A</v>
      </c>
      <c r="V14" s="125" t="e">
        <f t="shared" si="13"/>
        <v>#N/A</v>
      </c>
      <c r="W14" s="138" t="e">
        <f>INDEX('Справочник цен'!M$3:M$88,MATCH('Калькулятор затрат'!$B14,'Справочник цен'!$C$3:$C$86,0))</f>
        <v>#N/A</v>
      </c>
      <c r="X14" s="73" t="e">
        <f>INDEX('Справочник цен'!N$3:N$88,MATCH('Калькулятор затрат'!$B14,'Справочник цен'!$C$3:$C$86,0))</f>
        <v>#N/A</v>
      </c>
      <c r="Y14" s="73" t="e">
        <f t="shared" si="14"/>
        <v>#N/A</v>
      </c>
      <c r="Z14" s="73" t="e">
        <f t="shared" si="15"/>
        <v>#N/A</v>
      </c>
      <c r="AA14" s="127" t="e">
        <f t="shared" si="16"/>
        <v>#N/A</v>
      </c>
      <c r="AB14" s="149"/>
    </row>
    <row r="15" spans="1:28">
      <c r="A15" s="140"/>
      <c r="B15" s="144"/>
      <c r="C15" s="142" t="e">
        <f>INDEX('Справочник цен'!$D$3:$D$88,MATCH('Калькулятор затрат'!B15,'Справочник цен'!$C$3:$C$88,0))</f>
        <v>#N/A</v>
      </c>
      <c r="D15" s="154">
        <f>SUMIF('Справочник цен'!$C$2:$C$88,$B15,'Справочник цен'!E$2:E$88)</f>
        <v>0</v>
      </c>
      <c r="E15" s="73" t="e">
        <f t="shared" si="2"/>
        <v>#DIV/0!</v>
      </c>
      <c r="F15" s="73">
        <f>SUMIF('Справочник цен'!C$3:C$88,B15,'Справочник цен'!F$3:F$88)</f>
        <v>0</v>
      </c>
      <c r="G15" s="73" t="e">
        <f t="shared" si="3"/>
        <v>#DIV/0!</v>
      </c>
      <c r="H15" s="73">
        <f>SUMIF('Справочник цен'!$C$2:$C$88,$B15,'Справочник цен'!G$2:G$88)</f>
        <v>0</v>
      </c>
      <c r="I15" s="73">
        <f t="shared" si="4"/>
        <v>0</v>
      </c>
      <c r="J15" s="154">
        <f t="shared" si="5"/>
        <v>0</v>
      </c>
      <c r="K15" s="154" t="e">
        <f t="shared" si="6"/>
        <v>#DIV/0!</v>
      </c>
      <c r="L15" s="259">
        <f t="shared" si="7"/>
        <v>0</v>
      </c>
      <c r="M15" s="138" t="e">
        <f>INDEX('Справочник цен'!I$3:I$88,MATCH('Калькулятор затрат'!$B15,'Справочник цен'!$C$3:$C$86,0))</f>
        <v>#N/A</v>
      </c>
      <c r="N15" s="73" t="e">
        <f>INDEX('Справочник цен'!J$3:J$88,MATCH('Калькулятор затрат'!$B15,'Справочник цен'!$C$3:$C$86,0))</f>
        <v>#N/A</v>
      </c>
      <c r="O15" s="73" t="e">
        <f t="shared" si="8"/>
        <v>#N/A</v>
      </c>
      <c r="P15" s="73" t="e">
        <f t="shared" si="9"/>
        <v>#N/A</v>
      </c>
      <c r="Q15" s="127" t="e">
        <f t="shared" si="10"/>
        <v>#N/A</v>
      </c>
      <c r="R15" s="136" t="e">
        <f>INDEX('Справочник цен'!K$3:K$88,MATCH('Калькулятор затрат'!$B15,'Справочник цен'!$C$3:$C$86,0))</f>
        <v>#N/A</v>
      </c>
      <c r="S15" s="73" t="e">
        <f>INDEX('Справочник цен'!L$3:L$88,MATCH('Калькулятор затрат'!$B15,'Справочник цен'!$C$3:$C$86,0))</f>
        <v>#N/A</v>
      </c>
      <c r="T15" s="73" t="e">
        <f t="shared" si="11"/>
        <v>#N/A</v>
      </c>
      <c r="U15" s="73" t="e">
        <f t="shared" si="12"/>
        <v>#N/A</v>
      </c>
      <c r="V15" s="125" t="e">
        <f t="shared" si="13"/>
        <v>#N/A</v>
      </c>
      <c r="W15" s="138" t="e">
        <f>INDEX('Справочник цен'!M$3:M$88,MATCH('Калькулятор затрат'!$B15,'Справочник цен'!$C$3:$C$86,0))</f>
        <v>#N/A</v>
      </c>
      <c r="X15" s="73" t="e">
        <f>INDEX('Справочник цен'!N$3:N$88,MATCH('Калькулятор затрат'!$B15,'Справочник цен'!$C$3:$C$86,0))</f>
        <v>#N/A</v>
      </c>
      <c r="Y15" s="73" t="e">
        <f t="shared" si="14"/>
        <v>#N/A</v>
      </c>
      <c r="Z15" s="73" t="e">
        <f t="shared" si="15"/>
        <v>#N/A</v>
      </c>
      <c r="AA15" s="127" t="e">
        <f t="shared" si="16"/>
        <v>#N/A</v>
      </c>
      <c r="AB15" s="149"/>
    </row>
    <row r="16" spans="1:28">
      <c r="A16" s="140"/>
      <c r="B16" s="144"/>
      <c r="C16" s="142" t="e">
        <f>INDEX('Справочник цен'!$D$3:$D$88,MATCH('Калькулятор затрат'!B16,'Справочник цен'!$C$3:$C$88,0))</f>
        <v>#N/A</v>
      </c>
      <c r="D16" s="154">
        <f>SUMIF('Справочник цен'!$C$2:$C$88,$B16,'Справочник цен'!E$2:E$88)</f>
        <v>0</v>
      </c>
      <c r="E16" s="73" t="e">
        <f t="shared" si="2"/>
        <v>#DIV/0!</v>
      </c>
      <c r="F16" s="73">
        <f>SUMIF('Справочник цен'!C$3:C$88,B16,'Справочник цен'!F$3:F$88)</f>
        <v>0</v>
      </c>
      <c r="G16" s="73" t="e">
        <f t="shared" si="3"/>
        <v>#DIV/0!</v>
      </c>
      <c r="H16" s="73">
        <f>SUMIF('Справочник цен'!$C$2:$C$88,$B16,'Справочник цен'!G$2:G$88)</f>
        <v>0</v>
      </c>
      <c r="I16" s="73">
        <f t="shared" si="4"/>
        <v>0</v>
      </c>
      <c r="J16" s="154">
        <f t="shared" si="5"/>
        <v>0</v>
      </c>
      <c r="K16" s="154" t="e">
        <f t="shared" si="6"/>
        <v>#DIV/0!</v>
      </c>
      <c r="L16" s="259">
        <f t="shared" si="7"/>
        <v>0</v>
      </c>
      <c r="M16" s="138" t="e">
        <f>INDEX('Справочник цен'!I$3:I$88,MATCH('Калькулятор затрат'!$B16,'Справочник цен'!$C$3:$C$86,0))</f>
        <v>#N/A</v>
      </c>
      <c r="N16" s="73" t="e">
        <f>INDEX('Справочник цен'!J$3:J$88,MATCH('Калькулятор затрат'!$B16,'Справочник цен'!$C$3:$C$86,0))</f>
        <v>#N/A</v>
      </c>
      <c r="O16" s="73" t="e">
        <f t="shared" si="8"/>
        <v>#N/A</v>
      </c>
      <c r="P16" s="73" t="e">
        <f t="shared" si="9"/>
        <v>#N/A</v>
      </c>
      <c r="Q16" s="127" t="e">
        <f t="shared" si="10"/>
        <v>#N/A</v>
      </c>
      <c r="R16" s="136" t="e">
        <f>INDEX('Справочник цен'!K$3:K$88,MATCH('Калькулятор затрат'!$B16,'Справочник цен'!$C$3:$C$86,0))</f>
        <v>#N/A</v>
      </c>
      <c r="S16" s="73" t="e">
        <f>INDEX('Справочник цен'!L$3:L$88,MATCH('Калькулятор затрат'!$B16,'Справочник цен'!$C$3:$C$86,0))</f>
        <v>#N/A</v>
      </c>
      <c r="T16" s="73" t="e">
        <f t="shared" si="11"/>
        <v>#N/A</v>
      </c>
      <c r="U16" s="73" t="e">
        <f t="shared" si="12"/>
        <v>#N/A</v>
      </c>
      <c r="V16" s="125" t="e">
        <f t="shared" si="13"/>
        <v>#N/A</v>
      </c>
      <c r="W16" s="138" t="e">
        <f>INDEX('Справочник цен'!M$3:M$88,MATCH('Калькулятор затрат'!$B16,'Справочник цен'!$C$3:$C$86,0))</f>
        <v>#N/A</v>
      </c>
      <c r="X16" s="73" t="e">
        <f>INDEX('Справочник цен'!N$3:N$88,MATCH('Калькулятор затрат'!$B16,'Справочник цен'!$C$3:$C$86,0))</f>
        <v>#N/A</v>
      </c>
      <c r="Y16" s="73" t="e">
        <f t="shared" si="14"/>
        <v>#N/A</v>
      </c>
      <c r="Z16" s="73" t="e">
        <f t="shared" si="15"/>
        <v>#N/A</v>
      </c>
      <c r="AA16" s="127" t="e">
        <f t="shared" si="16"/>
        <v>#N/A</v>
      </c>
      <c r="AB16" s="149"/>
    </row>
    <row r="17" spans="1:28">
      <c r="A17" s="140"/>
      <c r="B17" s="144"/>
      <c r="C17" s="142" t="e">
        <f>INDEX('Справочник цен'!$D$3:$D$88,MATCH('Калькулятор затрат'!B17,'Справочник цен'!$C$3:$C$88,0))</f>
        <v>#N/A</v>
      </c>
      <c r="D17" s="154">
        <f>SUMIF('Справочник цен'!$C$2:$C$88,$B17,'Справочник цен'!E$2:E$88)</f>
        <v>0</v>
      </c>
      <c r="E17" s="73" t="e">
        <f t="shared" si="2"/>
        <v>#DIV/0!</v>
      </c>
      <c r="F17" s="73">
        <f>SUMIF('Справочник цен'!C$3:C$88,B17,'Справочник цен'!F$3:F$88)</f>
        <v>0</v>
      </c>
      <c r="G17" s="73" t="e">
        <f t="shared" si="3"/>
        <v>#DIV/0!</v>
      </c>
      <c r="H17" s="73">
        <f>SUMIF('Справочник цен'!$C$2:$C$88,$B17,'Справочник цен'!G$2:G$88)</f>
        <v>0</v>
      </c>
      <c r="I17" s="73">
        <f t="shared" si="4"/>
        <v>0</v>
      </c>
      <c r="J17" s="154">
        <f t="shared" si="5"/>
        <v>0</v>
      </c>
      <c r="K17" s="154" t="e">
        <f t="shared" si="6"/>
        <v>#DIV/0!</v>
      </c>
      <c r="L17" s="259">
        <f t="shared" si="7"/>
        <v>0</v>
      </c>
      <c r="M17" s="138" t="e">
        <f>INDEX('Справочник цен'!I$3:I$88,MATCH('Калькулятор затрат'!$B17,'Справочник цен'!$C$3:$C$86,0))</f>
        <v>#N/A</v>
      </c>
      <c r="N17" s="73" t="e">
        <f>INDEX('Справочник цен'!J$3:J$88,MATCH('Калькулятор затрат'!$B17,'Справочник цен'!$C$3:$C$86,0))</f>
        <v>#N/A</v>
      </c>
      <c r="O17" s="73" t="e">
        <f t="shared" si="8"/>
        <v>#N/A</v>
      </c>
      <c r="P17" s="73" t="e">
        <f t="shared" si="9"/>
        <v>#N/A</v>
      </c>
      <c r="Q17" s="127" t="e">
        <f t="shared" si="10"/>
        <v>#N/A</v>
      </c>
      <c r="R17" s="136" t="e">
        <f>INDEX('Справочник цен'!K$3:K$88,MATCH('Калькулятор затрат'!$B17,'Справочник цен'!$C$3:$C$86,0))</f>
        <v>#N/A</v>
      </c>
      <c r="S17" s="73" t="e">
        <f>INDEX('Справочник цен'!L$3:L$88,MATCH('Калькулятор затрат'!$B17,'Справочник цен'!$C$3:$C$86,0))</f>
        <v>#N/A</v>
      </c>
      <c r="T17" s="73" t="e">
        <f t="shared" si="11"/>
        <v>#N/A</v>
      </c>
      <c r="U17" s="73" t="e">
        <f t="shared" si="12"/>
        <v>#N/A</v>
      </c>
      <c r="V17" s="125" t="e">
        <f t="shared" si="13"/>
        <v>#N/A</v>
      </c>
      <c r="W17" s="138" t="e">
        <f>INDEX('Справочник цен'!M$3:M$88,MATCH('Калькулятор затрат'!$B17,'Справочник цен'!$C$3:$C$86,0))</f>
        <v>#N/A</v>
      </c>
      <c r="X17" s="73" t="e">
        <f>INDEX('Справочник цен'!N$3:N$88,MATCH('Калькулятор затрат'!$B17,'Справочник цен'!$C$3:$C$86,0))</f>
        <v>#N/A</v>
      </c>
      <c r="Y17" s="73" t="e">
        <f t="shared" si="14"/>
        <v>#N/A</v>
      </c>
      <c r="Z17" s="73" t="e">
        <f t="shared" si="15"/>
        <v>#N/A</v>
      </c>
      <c r="AA17" s="127" t="e">
        <f t="shared" si="16"/>
        <v>#N/A</v>
      </c>
      <c r="AB17" s="149"/>
    </row>
    <row r="18" spans="1:28">
      <c r="A18" s="140"/>
      <c r="B18" s="144"/>
      <c r="C18" s="142" t="e">
        <f>INDEX('Справочник цен'!$D$3:$D$88,MATCH('Калькулятор затрат'!B18,'Справочник цен'!$C$3:$C$88,0))</f>
        <v>#N/A</v>
      </c>
      <c r="D18" s="154">
        <f>SUMIF('Справочник цен'!$C$2:$C$88,$B18,'Справочник цен'!E$2:E$88)</f>
        <v>0</v>
      </c>
      <c r="E18" s="73" t="e">
        <f t="shared" si="2"/>
        <v>#DIV/0!</v>
      </c>
      <c r="F18" s="73">
        <f>SUMIF('Справочник цен'!C$3:C$88,B18,'Справочник цен'!F$3:F$88)</f>
        <v>0</v>
      </c>
      <c r="G18" s="73" t="e">
        <f t="shared" si="3"/>
        <v>#DIV/0!</v>
      </c>
      <c r="H18" s="73">
        <f>SUMIF('Справочник цен'!$C$2:$C$88,$B18,'Справочник цен'!G$2:G$88)</f>
        <v>0</v>
      </c>
      <c r="I18" s="73">
        <f t="shared" si="4"/>
        <v>0</v>
      </c>
      <c r="J18" s="154">
        <f t="shared" si="5"/>
        <v>0</v>
      </c>
      <c r="K18" s="154" t="e">
        <f t="shared" si="6"/>
        <v>#DIV/0!</v>
      </c>
      <c r="L18" s="259">
        <f t="shared" si="7"/>
        <v>0</v>
      </c>
      <c r="M18" s="138" t="e">
        <f>INDEX('Справочник цен'!I$3:I$88,MATCH('Калькулятор затрат'!$B18,'Справочник цен'!$C$3:$C$86,0))</f>
        <v>#N/A</v>
      </c>
      <c r="N18" s="73" t="e">
        <f>INDEX('Справочник цен'!J$3:J$88,MATCH('Калькулятор затрат'!$B18,'Справочник цен'!$C$3:$C$86,0))</f>
        <v>#N/A</v>
      </c>
      <c r="O18" s="73" t="e">
        <f t="shared" si="8"/>
        <v>#N/A</v>
      </c>
      <c r="P18" s="73" t="e">
        <f t="shared" si="9"/>
        <v>#N/A</v>
      </c>
      <c r="Q18" s="127" t="e">
        <f t="shared" si="10"/>
        <v>#N/A</v>
      </c>
      <c r="R18" s="136" t="e">
        <f>INDEX('Справочник цен'!K$3:K$88,MATCH('Калькулятор затрат'!$B18,'Справочник цен'!$C$3:$C$86,0))</f>
        <v>#N/A</v>
      </c>
      <c r="S18" s="73" t="e">
        <f>INDEX('Справочник цен'!L$3:L$88,MATCH('Калькулятор затрат'!$B18,'Справочник цен'!$C$3:$C$86,0))</f>
        <v>#N/A</v>
      </c>
      <c r="T18" s="73" t="e">
        <f t="shared" si="11"/>
        <v>#N/A</v>
      </c>
      <c r="U18" s="73" t="e">
        <f t="shared" si="12"/>
        <v>#N/A</v>
      </c>
      <c r="V18" s="125" t="e">
        <f t="shared" si="13"/>
        <v>#N/A</v>
      </c>
      <c r="W18" s="138" t="e">
        <f>INDEX('Справочник цен'!M$3:M$88,MATCH('Калькулятор затрат'!$B18,'Справочник цен'!$C$3:$C$86,0))</f>
        <v>#N/A</v>
      </c>
      <c r="X18" s="73" t="e">
        <f>INDEX('Справочник цен'!N$3:N$88,MATCH('Калькулятор затрат'!$B18,'Справочник цен'!$C$3:$C$86,0))</f>
        <v>#N/A</v>
      </c>
      <c r="Y18" s="73" t="e">
        <f t="shared" si="14"/>
        <v>#N/A</v>
      </c>
      <c r="Z18" s="73" t="e">
        <f t="shared" si="15"/>
        <v>#N/A</v>
      </c>
      <c r="AA18" s="127" t="e">
        <f t="shared" si="16"/>
        <v>#N/A</v>
      </c>
      <c r="AB18" s="149"/>
    </row>
    <row r="19" spans="1:28">
      <c r="A19" s="140"/>
      <c r="B19" s="144"/>
      <c r="C19" s="142" t="e">
        <f>INDEX('Справочник цен'!$D$3:$D$88,MATCH('Калькулятор затрат'!B19,'Справочник цен'!$C$3:$C$88,0))</f>
        <v>#N/A</v>
      </c>
      <c r="D19" s="154">
        <f>SUMIF('Справочник цен'!$C$2:$C$88,$B19,'Справочник цен'!E$2:E$88)</f>
        <v>0</v>
      </c>
      <c r="E19" s="73" t="e">
        <f t="shared" si="2"/>
        <v>#DIV/0!</v>
      </c>
      <c r="F19" s="73">
        <f>SUMIF('Справочник цен'!C$3:C$88,B19,'Справочник цен'!F$3:F$88)</f>
        <v>0</v>
      </c>
      <c r="G19" s="73" t="e">
        <f t="shared" si="3"/>
        <v>#DIV/0!</v>
      </c>
      <c r="H19" s="73">
        <f>SUMIF('Справочник цен'!$C$2:$C$88,$B19,'Справочник цен'!G$2:G$88)</f>
        <v>0</v>
      </c>
      <c r="I19" s="73">
        <f t="shared" si="4"/>
        <v>0</v>
      </c>
      <c r="J19" s="154">
        <f t="shared" si="5"/>
        <v>0</v>
      </c>
      <c r="K19" s="154" t="e">
        <f t="shared" si="6"/>
        <v>#DIV/0!</v>
      </c>
      <c r="L19" s="259">
        <f t="shared" si="7"/>
        <v>0</v>
      </c>
      <c r="M19" s="138" t="e">
        <f>INDEX('Справочник цен'!I$3:I$88,MATCH('Калькулятор затрат'!$B19,'Справочник цен'!$C$3:$C$86,0))</f>
        <v>#N/A</v>
      </c>
      <c r="N19" s="73" t="e">
        <f>INDEX('Справочник цен'!J$3:J$88,MATCH('Калькулятор затрат'!$B19,'Справочник цен'!$C$3:$C$86,0))</f>
        <v>#N/A</v>
      </c>
      <c r="O19" s="73" t="e">
        <f t="shared" si="8"/>
        <v>#N/A</v>
      </c>
      <c r="P19" s="73" t="e">
        <f t="shared" si="9"/>
        <v>#N/A</v>
      </c>
      <c r="Q19" s="127" t="e">
        <f t="shared" si="10"/>
        <v>#N/A</v>
      </c>
      <c r="R19" s="136" t="e">
        <f>INDEX('Справочник цен'!K$3:K$88,MATCH('Калькулятор затрат'!$B19,'Справочник цен'!$C$3:$C$86,0))</f>
        <v>#N/A</v>
      </c>
      <c r="S19" s="73" t="e">
        <f>INDEX('Справочник цен'!L$3:L$88,MATCH('Калькулятор затрат'!$B19,'Справочник цен'!$C$3:$C$86,0))</f>
        <v>#N/A</v>
      </c>
      <c r="T19" s="73" t="e">
        <f t="shared" si="11"/>
        <v>#N/A</v>
      </c>
      <c r="U19" s="73" t="e">
        <f t="shared" si="12"/>
        <v>#N/A</v>
      </c>
      <c r="V19" s="125" t="e">
        <f t="shared" si="13"/>
        <v>#N/A</v>
      </c>
      <c r="W19" s="138" t="e">
        <f>INDEX('Справочник цен'!M$3:M$88,MATCH('Калькулятор затрат'!$B19,'Справочник цен'!$C$3:$C$86,0))</f>
        <v>#N/A</v>
      </c>
      <c r="X19" s="73" t="e">
        <f>INDEX('Справочник цен'!N$3:N$88,MATCH('Калькулятор затрат'!$B19,'Справочник цен'!$C$3:$C$86,0))</f>
        <v>#N/A</v>
      </c>
      <c r="Y19" s="73" t="e">
        <f t="shared" si="14"/>
        <v>#N/A</v>
      </c>
      <c r="Z19" s="73" t="e">
        <f t="shared" si="15"/>
        <v>#N/A</v>
      </c>
      <c r="AA19" s="127" t="e">
        <f t="shared" si="16"/>
        <v>#N/A</v>
      </c>
      <c r="AB19" s="149"/>
    </row>
    <row r="20" spans="1:28">
      <c r="A20" s="140"/>
      <c r="B20" s="144"/>
      <c r="C20" s="142" t="e">
        <f>INDEX('Справочник цен'!$D$3:$D$88,MATCH('Калькулятор затрат'!B20,'Справочник цен'!$C$3:$C$88,0))</f>
        <v>#N/A</v>
      </c>
      <c r="D20" s="154">
        <f>SUMIF('Справочник цен'!$C$2:$C$88,$B20,'Справочник цен'!E$2:E$88)</f>
        <v>0</v>
      </c>
      <c r="E20" s="73" t="e">
        <f t="shared" si="2"/>
        <v>#DIV/0!</v>
      </c>
      <c r="F20" s="73">
        <f>SUMIF('Справочник цен'!C$3:C$88,B20,'Справочник цен'!F$3:F$88)</f>
        <v>0</v>
      </c>
      <c r="G20" s="73" t="e">
        <f t="shared" si="3"/>
        <v>#DIV/0!</v>
      </c>
      <c r="H20" s="73">
        <f>SUMIF('Справочник цен'!$C$2:$C$88,$B20,'Справочник цен'!G$2:G$88)</f>
        <v>0</v>
      </c>
      <c r="I20" s="73">
        <f t="shared" si="4"/>
        <v>0</v>
      </c>
      <c r="J20" s="154">
        <f t="shared" si="5"/>
        <v>0</v>
      </c>
      <c r="K20" s="154" t="e">
        <f t="shared" si="6"/>
        <v>#DIV/0!</v>
      </c>
      <c r="L20" s="259">
        <f t="shared" si="7"/>
        <v>0</v>
      </c>
      <c r="M20" s="138" t="e">
        <f>INDEX('Справочник цен'!I$3:I$88,MATCH('Калькулятор затрат'!$B20,'Справочник цен'!$C$3:$C$86,0))</f>
        <v>#N/A</v>
      </c>
      <c r="N20" s="73" t="e">
        <f>INDEX('Справочник цен'!J$3:J$88,MATCH('Калькулятор затрат'!$B20,'Справочник цен'!$C$3:$C$86,0))</f>
        <v>#N/A</v>
      </c>
      <c r="O20" s="73" t="e">
        <f t="shared" si="8"/>
        <v>#N/A</v>
      </c>
      <c r="P20" s="73" t="e">
        <f t="shared" si="9"/>
        <v>#N/A</v>
      </c>
      <c r="Q20" s="127" t="e">
        <f t="shared" si="10"/>
        <v>#N/A</v>
      </c>
      <c r="R20" s="136" t="e">
        <f>INDEX('Справочник цен'!K$3:K$88,MATCH('Калькулятор затрат'!$B20,'Справочник цен'!$C$3:$C$86,0))</f>
        <v>#N/A</v>
      </c>
      <c r="S20" s="73" t="e">
        <f>INDEX('Справочник цен'!L$3:L$88,MATCH('Калькулятор затрат'!$B20,'Справочник цен'!$C$3:$C$86,0))</f>
        <v>#N/A</v>
      </c>
      <c r="T20" s="73" t="e">
        <f t="shared" si="11"/>
        <v>#N/A</v>
      </c>
      <c r="U20" s="73" t="e">
        <f t="shared" si="12"/>
        <v>#N/A</v>
      </c>
      <c r="V20" s="125" t="e">
        <f t="shared" si="13"/>
        <v>#N/A</v>
      </c>
      <c r="W20" s="138" t="e">
        <f>INDEX('Справочник цен'!M$3:M$88,MATCH('Калькулятор затрат'!$B20,'Справочник цен'!$C$3:$C$86,0))</f>
        <v>#N/A</v>
      </c>
      <c r="X20" s="73" t="e">
        <f>INDEX('Справочник цен'!N$3:N$88,MATCH('Калькулятор затрат'!$B20,'Справочник цен'!$C$3:$C$86,0))</f>
        <v>#N/A</v>
      </c>
      <c r="Y20" s="73" t="e">
        <f t="shared" si="14"/>
        <v>#N/A</v>
      </c>
      <c r="Z20" s="73" t="e">
        <f t="shared" si="15"/>
        <v>#N/A</v>
      </c>
      <c r="AA20" s="127" t="e">
        <f t="shared" si="16"/>
        <v>#N/A</v>
      </c>
      <c r="AB20" s="149"/>
    </row>
    <row r="21" spans="1:28">
      <c r="A21" s="140"/>
      <c r="B21" s="144"/>
      <c r="C21" s="142" t="e">
        <f>INDEX('Справочник цен'!$D$3:$D$88,MATCH('Калькулятор затрат'!B21,'Справочник цен'!$C$3:$C$88,0))</f>
        <v>#N/A</v>
      </c>
      <c r="D21" s="154">
        <f>SUMIF('Справочник цен'!$C$2:$C$88,$B21,'Справочник цен'!E$2:E$88)</f>
        <v>0</v>
      </c>
      <c r="E21" s="73" t="e">
        <f t="shared" si="2"/>
        <v>#DIV/0!</v>
      </c>
      <c r="F21" s="73">
        <f>SUMIF('Справочник цен'!C$3:C$88,B21,'Справочник цен'!F$3:F$88)</f>
        <v>0</v>
      </c>
      <c r="G21" s="73" t="e">
        <f t="shared" si="3"/>
        <v>#DIV/0!</v>
      </c>
      <c r="H21" s="73">
        <f>SUMIF('Справочник цен'!$C$2:$C$88,$B21,'Справочник цен'!G$2:G$88)</f>
        <v>0</v>
      </c>
      <c r="I21" s="73">
        <f t="shared" si="4"/>
        <v>0</v>
      </c>
      <c r="J21" s="154">
        <f t="shared" si="5"/>
        <v>0</v>
      </c>
      <c r="K21" s="154" t="e">
        <f t="shared" si="6"/>
        <v>#DIV/0!</v>
      </c>
      <c r="L21" s="259">
        <f t="shared" si="7"/>
        <v>0</v>
      </c>
      <c r="M21" s="138" t="e">
        <f>INDEX('Справочник цен'!I$3:I$88,MATCH('Калькулятор затрат'!$B21,'Справочник цен'!$C$3:$C$86,0))</f>
        <v>#N/A</v>
      </c>
      <c r="N21" s="73" t="e">
        <f>INDEX('Справочник цен'!J$3:J$88,MATCH('Калькулятор затрат'!$B21,'Справочник цен'!$C$3:$C$86,0))</f>
        <v>#N/A</v>
      </c>
      <c r="O21" s="73" t="e">
        <f t="shared" si="8"/>
        <v>#N/A</v>
      </c>
      <c r="P21" s="73" t="e">
        <f t="shared" si="9"/>
        <v>#N/A</v>
      </c>
      <c r="Q21" s="127" t="e">
        <f t="shared" si="10"/>
        <v>#N/A</v>
      </c>
      <c r="R21" s="136" t="e">
        <f>INDEX('Справочник цен'!K$3:K$88,MATCH('Калькулятор затрат'!$B21,'Справочник цен'!$C$3:$C$86,0))</f>
        <v>#N/A</v>
      </c>
      <c r="S21" s="73" t="e">
        <f>INDEX('Справочник цен'!L$3:L$88,MATCH('Калькулятор затрат'!$B21,'Справочник цен'!$C$3:$C$86,0))</f>
        <v>#N/A</v>
      </c>
      <c r="T21" s="73" t="e">
        <f t="shared" si="11"/>
        <v>#N/A</v>
      </c>
      <c r="U21" s="73" t="e">
        <f t="shared" si="12"/>
        <v>#N/A</v>
      </c>
      <c r="V21" s="125" t="e">
        <f t="shared" si="13"/>
        <v>#N/A</v>
      </c>
      <c r="W21" s="138" t="e">
        <f>INDEX('Справочник цен'!M$3:M$88,MATCH('Калькулятор затрат'!$B21,'Справочник цен'!$C$3:$C$86,0))</f>
        <v>#N/A</v>
      </c>
      <c r="X21" s="73" t="e">
        <f>INDEX('Справочник цен'!N$3:N$88,MATCH('Калькулятор затрат'!$B21,'Справочник цен'!$C$3:$C$86,0))</f>
        <v>#N/A</v>
      </c>
      <c r="Y21" s="73" t="e">
        <f t="shared" si="14"/>
        <v>#N/A</v>
      </c>
      <c r="Z21" s="73" t="e">
        <f t="shared" si="15"/>
        <v>#N/A</v>
      </c>
      <c r="AA21" s="127" t="e">
        <f t="shared" si="16"/>
        <v>#N/A</v>
      </c>
      <c r="AB21" s="149"/>
    </row>
    <row r="22" spans="1:28">
      <c r="A22" s="140"/>
      <c r="B22" s="144"/>
      <c r="C22" s="142" t="e">
        <f>INDEX('Справочник цен'!$D$3:$D$88,MATCH('Калькулятор затрат'!B22,'Справочник цен'!$C$3:$C$88,0))</f>
        <v>#N/A</v>
      </c>
      <c r="D22" s="154">
        <f>SUMIF('Справочник цен'!$C$2:$C$88,$B22,'Справочник цен'!E$2:E$88)</f>
        <v>0</v>
      </c>
      <c r="E22" s="73" t="e">
        <f t="shared" si="2"/>
        <v>#DIV/0!</v>
      </c>
      <c r="F22" s="73">
        <f>SUMIF('Справочник цен'!C$3:C$88,B22,'Справочник цен'!F$3:F$88)</f>
        <v>0</v>
      </c>
      <c r="G22" s="73" t="e">
        <f t="shared" si="3"/>
        <v>#DIV/0!</v>
      </c>
      <c r="H22" s="73">
        <f>SUMIF('Справочник цен'!$C$2:$C$88,$B22,'Справочник цен'!G$2:G$88)</f>
        <v>0</v>
      </c>
      <c r="I22" s="73">
        <f t="shared" si="4"/>
        <v>0</v>
      </c>
      <c r="J22" s="154">
        <f t="shared" si="5"/>
        <v>0</v>
      </c>
      <c r="K22" s="154" t="e">
        <f t="shared" si="6"/>
        <v>#DIV/0!</v>
      </c>
      <c r="L22" s="259">
        <f t="shared" si="7"/>
        <v>0</v>
      </c>
      <c r="M22" s="138" t="e">
        <f>INDEX('Справочник цен'!I$3:I$88,MATCH('Калькулятор затрат'!$B22,'Справочник цен'!$C$3:$C$86,0))</f>
        <v>#N/A</v>
      </c>
      <c r="N22" s="73" t="e">
        <f>INDEX('Справочник цен'!J$3:J$88,MATCH('Калькулятор затрат'!$B22,'Справочник цен'!$C$3:$C$86,0))</f>
        <v>#N/A</v>
      </c>
      <c r="O22" s="73" t="e">
        <f t="shared" si="8"/>
        <v>#N/A</v>
      </c>
      <c r="P22" s="73" t="e">
        <f t="shared" si="9"/>
        <v>#N/A</v>
      </c>
      <c r="Q22" s="127" t="e">
        <f t="shared" si="10"/>
        <v>#N/A</v>
      </c>
      <c r="R22" s="136" t="e">
        <f>INDEX('Справочник цен'!K$3:K$88,MATCH('Калькулятор затрат'!$B22,'Справочник цен'!$C$3:$C$86,0))</f>
        <v>#N/A</v>
      </c>
      <c r="S22" s="73" t="e">
        <f>INDEX('Справочник цен'!L$3:L$88,MATCH('Калькулятор затрат'!$B22,'Справочник цен'!$C$3:$C$86,0))</f>
        <v>#N/A</v>
      </c>
      <c r="T22" s="73" t="e">
        <f t="shared" si="11"/>
        <v>#N/A</v>
      </c>
      <c r="U22" s="73" t="e">
        <f t="shared" si="12"/>
        <v>#N/A</v>
      </c>
      <c r="V22" s="125" t="e">
        <f t="shared" si="13"/>
        <v>#N/A</v>
      </c>
      <c r="W22" s="138" t="e">
        <f>INDEX('Справочник цен'!M$3:M$88,MATCH('Калькулятор затрат'!$B22,'Справочник цен'!$C$3:$C$86,0))</f>
        <v>#N/A</v>
      </c>
      <c r="X22" s="73" t="e">
        <f>INDEX('Справочник цен'!N$3:N$88,MATCH('Калькулятор затрат'!$B22,'Справочник цен'!$C$3:$C$86,0))</f>
        <v>#N/A</v>
      </c>
      <c r="Y22" s="73" t="e">
        <f t="shared" si="14"/>
        <v>#N/A</v>
      </c>
      <c r="Z22" s="73" t="e">
        <f t="shared" si="15"/>
        <v>#N/A</v>
      </c>
      <c r="AA22" s="127" t="e">
        <f t="shared" si="16"/>
        <v>#N/A</v>
      </c>
      <c r="AB22" s="149"/>
    </row>
    <row r="23" spans="1:28">
      <c r="A23" s="140"/>
      <c r="B23" s="144"/>
      <c r="C23" s="142" t="e">
        <f>INDEX('Справочник цен'!$D$3:$D$88,MATCH('Калькулятор затрат'!B23,'Справочник цен'!$C$3:$C$88,0))</f>
        <v>#N/A</v>
      </c>
      <c r="D23" s="154">
        <f>SUMIF('Справочник цен'!$C$2:$C$88,$B23,'Справочник цен'!E$2:E$88)</f>
        <v>0</v>
      </c>
      <c r="E23" s="73" t="e">
        <f t="shared" si="2"/>
        <v>#DIV/0!</v>
      </c>
      <c r="F23" s="73">
        <f>SUMIF('Справочник цен'!C$3:C$88,B23,'Справочник цен'!F$3:F$88)</f>
        <v>0</v>
      </c>
      <c r="G23" s="73" t="e">
        <f t="shared" si="3"/>
        <v>#DIV/0!</v>
      </c>
      <c r="H23" s="73">
        <f>SUMIF('Справочник цен'!$C$2:$C$88,$B23,'Справочник цен'!G$2:G$88)</f>
        <v>0</v>
      </c>
      <c r="I23" s="73">
        <f t="shared" si="4"/>
        <v>0</v>
      </c>
      <c r="J23" s="154">
        <f t="shared" si="5"/>
        <v>0</v>
      </c>
      <c r="K23" s="154" t="e">
        <f t="shared" si="6"/>
        <v>#DIV/0!</v>
      </c>
      <c r="L23" s="259">
        <f t="shared" si="7"/>
        <v>0</v>
      </c>
      <c r="M23" s="138" t="e">
        <f>INDEX('Справочник цен'!I$3:I$88,MATCH('Калькулятор затрат'!$B23,'Справочник цен'!$C$3:$C$86,0))</f>
        <v>#N/A</v>
      </c>
      <c r="N23" s="73" t="e">
        <f>INDEX('Справочник цен'!J$3:J$88,MATCH('Калькулятор затрат'!$B23,'Справочник цен'!$C$3:$C$86,0))</f>
        <v>#N/A</v>
      </c>
      <c r="O23" s="73" t="e">
        <f t="shared" si="8"/>
        <v>#N/A</v>
      </c>
      <c r="P23" s="73" t="e">
        <f t="shared" si="9"/>
        <v>#N/A</v>
      </c>
      <c r="Q23" s="127" t="e">
        <f t="shared" si="10"/>
        <v>#N/A</v>
      </c>
      <c r="R23" s="136" t="e">
        <f>INDEX('Справочник цен'!K$3:K$88,MATCH('Калькулятор затрат'!$B23,'Справочник цен'!$C$3:$C$86,0))</f>
        <v>#N/A</v>
      </c>
      <c r="S23" s="73" t="e">
        <f>INDEX('Справочник цен'!L$3:L$88,MATCH('Калькулятор затрат'!$B23,'Справочник цен'!$C$3:$C$86,0))</f>
        <v>#N/A</v>
      </c>
      <c r="T23" s="73" t="e">
        <f t="shared" si="11"/>
        <v>#N/A</v>
      </c>
      <c r="U23" s="73" t="e">
        <f t="shared" si="12"/>
        <v>#N/A</v>
      </c>
      <c r="V23" s="125" t="e">
        <f t="shared" si="13"/>
        <v>#N/A</v>
      </c>
      <c r="W23" s="138" t="e">
        <f>INDEX('Справочник цен'!M$3:M$88,MATCH('Калькулятор затрат'!$B23,'Справочник цен'!$C$3:$C$86,0))</f>
        <v>#N/A</v>
      </c>
      <c r="X23" s="73" t="e">
        <f>INDEX('Справочник цен'!N$3:N$88,MATCH('Калькулятор затрат'!$B23,'Справочник цен'!$C$3:$C$86,0))</f>
        <v>#N/A</v>
      </c>
      <c r="Y23" s="73" t="e">
        <f t="shared" si="14"/>
        <v>#N/A</v>
      </c>
      <c r="Z23" s="73" t="e">
        <f t="shared" si="15"/>
        <v>#N/A</v>
      </c>
      <c r="AA23" s="127" t="e">
        <f t="shared" si="16"/>
        <v>#N/A</v>
      </c>
      <c r="AB23" s="149"/>
    </row>
    <row r="24" spans="1:28">
      <c r="A24" s="140"/>
      <c r="B24" s="144"/>
      <c r="C24" s="142" t="e">
        <f>INDEX('Справочник цен'!$D$3:$D$88,MATCH('Калькулятор затрат'!B24,'Справочник цен'!$C$3:$C$88,0))</f>
        <v>#N/A</v>
      </c>
      <c r="D24" s="154">
        <f>SUMIF('Справочник цен'!$C$2:$C$88,$B24,'Справочник цен'!E$2:E$88)</f>
        <v>0</v>
      </c>
      <c r="E24" s="73" t="e">
        <f t="shared" si="2"/>
        <v>#DIV/0!</v>
      </c>
      <c r="F24" s="73">
        <f>SUMIF('Справочник цен'!C$3:C$88,B24,'Справочник цен'!F$3:F$88)</f>
        <v>0</v>
      </c>
      <c r="G24" s="73" t="e">
        <f t="shared" si="3"/>
        <v>#DIV/0!</v>
      </c>
      <c r="H24" s="73">
        <f>SUMIF('Справочник цен'!$C$2:$C$88,$B24,'Справочник цен'!G$2:G$88)</f>
        <v>0</v>
      </c>
      <c r="I24" s="73">
        <f t="shared" si="4"/>
        <v>0</v>
      </c>
      <c r="J24" s="154">
        <f t="shared" si="5"/>
        <v>0</v>
      </c>
      <c r="K24" s="154" t="e">
        <f t="shared" si="6"/>
        <v>#DIV/0!</v>
      </c>
      <c r="L24" s="259">
        <f t="shared" si="7"/>
        <v>0</v>
      </c>
      <c r="M24" s="138" t="e">
        <f>INDEX('Справочник цен'!I$3:I$88,MATCH('Калькулятор затрат'!$B24,'Справочник цен'!$C$3:$C$86,0))</f>
        <v>#N/A</v>
      </c>
      <c r="N24" s="73" t="e">
        <f>INDEX('Справочник цен'!J$3:J$88,MATCH('Калькулятор затрат'!$B24,'Справочник цен'!$C$3:$C$86,0))</f>
        <v>#N/A</v>
      </c>
      <c r="O24" s="73" t="e">
        <f t="shared" si="8"/>
        <v>#N/A</v>
      </c>
      <c r="P24" s="73" t="e">
        <f t="shared" si="9"/>
        <v>#N/A</v>
      </c>
      <c r="Q24" s="127" t="e">
        <f t="shared" si="10"/>
        <v>#N/A</v>
      </c>
      <c r="R24" s="136" t="e">
        <f>INDEX('Справочник цен'!K$3:K$88,MATCH('Калькулятор затрат'!$B24,'Справочник цен'!$C$3:$C$86,0))</f>
        <v>#N/A</v>
      </c>
      <c r="S24" s="73" t="e">
        <f>INDEX('Справочник цен'!L$3:L$88,MATCH('Калькулятор затрат'!$B24,'Справочник цен'!$C$3:$C$86,0))</f>
        <v>#N/A</v>
      </c>
      <c r="T24" s="73" t="e">
        <f t="shared" si="11"/>
        <v>#N/A</v>
      </c>
      <c r="U24" s="73" t="e">
        <f t="shared" si="12"/>
        <v>#N/A</v>
      </c>
      <c r="V24" s="125" t="e">
        <f t="shared" si="13"/>
        <v>#N/A</v>
      </c>
      <c r="W24" s="138" t="e">
        <f>INDEX('Справочник цен'!M$3:M$88,MATCH('Калькулятор затрат'!$B24,'Справочник цен'!$C$3:$C$86,0))</f>
        <v>#N/A</v>
      </c>
      <c r="X24" s="73" t="e">
        <f>INDEX('Справочник цен'!N$3:N$88,MATCH('Калькулятор затрат'!$B24,'Справочник цен'!$C$3:$C$86,0))</f>
        <v>#N/A</v>
      </c>
      <c r="Y24" s="73" t="e">
        <f t="shared" si="14"/>
        <v>#N/A</v>
      </c>
      <c r="Z24" s="73" t="e">
        <f t="shared" si="15"/>
        <v>#N/A</v>
      </c>
      <c r="AA24" s="127" t="e">
        <f t="shared" si="16"/>
        <v>#N/A</v>
      </c>
      <c r="AB24" s="149"/>
    </row>
    <row r="25" spans="1:28">
      <c r="A25" s="140"/>
      <c r="B25" s="144"/>
      <c r="C25" s="142" t="e">
        <f>INDEX('Справочник цен'!$D$3:$D$88,MATCH('Калькулятор затрат'!B25,'Справочник цен'!$C$3:$C$88,0))</f>
        <v>#N/A</v>
      </c>
      <c r="D25" s="154">
        <f>SUMIF('Справочник цен'!$C$2:$C$88,$B25,'Справочник цен'!E$2:E$88)</f>
        <v>0</v>
      </c>
      <c r="E25" s="73" t="e">
        <f t="shared" si="2"/>
        <v>#DIV/0!</v>
      </c>
      <c r="F25" s="73">
        <f>SUMIF('Справочник цен'!C$3:C$88,B25,'Справочник цен'!F$3:F$88)</f>
        <v>0</v>
      </c>
      <c r="G25" s="73" t="e">
        <f t="shared" si="3"/>
        <v>#DIV/0!</v>
      </c>
      <c r="H25" s="73">
        <f>SUMIF('Справочник цен'!$C$2:$C$88,$B25,'Справочник цен'!G$2:G$88)</f>
        <v>0</v>
      </c>
      <c r="I25" s="73">
        <f t="shared" si="4"/>
        <v>0</v>
      </c>
      <c r="J25" s="154">
        <f t="shared" si="5"/>
        <v>0</v>
      </c>
      <c r="K25" s="154" t="e">
        <f t="shared" si="6"/>
        <v>#DIV/0!</v>
      </c>
      <c r="L25" s="259">
        <f t="shared" si="7"/>
        <v>0</v>
      </c>
      <c r="M25" s="138" t="e">
        <f>INDEX('Справочник цен'!I$3:I$88,MATCH('Калькулятор затрат'!$B25,'Справочник цен'!$C$3:$C$86,0))</f>
        <v>#N/A</v>
      </c>
      <c r="N25" s="73" t="e">
        <f>INDEX('Справочник цен'!J$3:J$88,MATCH('Калькулятор затрат'!$B25,'Справочник цен'!$C$3:$C$86,0))</f>
        <v>#N/A</v>
      </c>
      <c r="O25" s="73" t="e">
        <f t="shared" si="8"/>
        <v>#N/A</v>
      </c>
      <c r="P25" s="73" t="e">
        <f t="shared" si="9"/>
        <v>#N/A</v>
      </c>
      <c r="Q25" s="127" t="e">
        <f t="shared" si="10"/>
        <v>#N/A</v>
      </c>
      <c r="R25" s="136" t="e">
        <f>INDEX('Справочник цен'!K$3:K$88,MATCH('Калькулятор затрат'!$B25,'Справочник цен'!$C$3:$C$86,0))</f>
        <v>#N/A</v>
      </c>
      <c r="S25" s="73" t="e">
        <f>INDEX('Справочник цен'!L$3:L$88,MATCH('Калькулятор затрат'!$B25,'Справочник цен'!$C$3:$C$86,0))</f>
        <v>#N/A</v>
      </c>
      <c r="T25" s="73" t="e">
        <f t="shared" si="11"/>
        <v>#N/A</v>
      </c>
      <c r="U25" s="73" t="e">
        <f t="shared" si="12"/>
        <v>#N/A</v>
      </c>
      <c r="V25" s="125" t="e">
        <f t="shared" si="13"/>
        <v>#N/A</v>
      </c>
      <c r="W25" s="138" t="e">
        <f>INDEX('Справочник цен'!M$3:M$88,MATCH('Калькулятор затрат'!$B25,'Справочник цен'!$C$3:$C$86,0))</f>
        <v>#N/A</v>
      </c>
      <c r="X25" s="73" t="e">
        <f>INDEX('Справочник цен'!N$3:N$88,MATCH('Калькулятор затрат'!$B25,'Справочник цен'!$C$3:$C$86,0))</f>
        <v>#N/A</v>
      </c>
      <c r="Y25" s="73" t="e">
        <f t="shared" si="14"/>
        <v>#N/A</v>
      </c>
      <c r="Z25" s="73" t="e">
        <f t="shared" si="15"/>
        <v>#N/A</v>
      </c>
      <c r="AA25" s="127" t="e">
        <f t="shared" si="16"/>
        <v>#N/A</v>
      </c>
      <c r="AB25" s="149"/>
    </row>
    <row r="26" spans="1:28">
      <c r="A26" s="140"/>
      <c r="B26" s="144"/>
      <c r="C26" s="142" t="e">
        <f>INDEX('Справочник цен'!$D$3:$D$88,MATCH('Калькулятор затрат'!B26,'Справочник цен'!$C$3:$C$88,0))</f>
        <v>#N/A</v>
      </c>
      <c r="D26" s="154">
        <f>SUMIF('Справочник цен'!$C$2:$C$88,$B26,'Справочник цен'!E$2:E$88)</f>
        <v>0</v>
      </c>
      <c r="E26" s="73" t="e">
        <f t="shared" si="2"/>
        <v>#DIV/0!</v>
      </c>
      <c r="F26" s="73">
        <f>SUMIF('Справочник цен'!C$3:C$88,B26,'Справочник цен'!F$3:F$88)</f>
        <v>0</v>
      </c>
      <c r="G26" s="73" t="e">
        <f t="shared" si="3"/>
        <v>#DIV/0!</v>
      </c>
      <c r="H26" s="73">
        <f>SUMIF('Справочник цен'!$C$2:$C$88,$B26,'Справочник цен'!G$2:G$88)</f>
        <v>0</v>
      </c>
      <c r="I26" s="73">
        <f t="shared" si="4"/>
        <v>0</v>
      </c>
      <c r="J26" s="154">
        <f t="shared" si="5"/>
        <v>0</v>
      </c>
      <c r="K26" s="154" t="e">
        <f t="shared" si="6"/>
        <v>#DIV/0!</v>
      </c>
      <c r="L26" s="259">
        <f t="shared" si="7"/>
        <v>0</v>
      </c>
      <c r="M26" s="138" t="e">
        <f>INDEX('Справочник цен'!I$3:I$88,MATCH('Калькулятор затрат'!$B26,'Справочник цен'!$C$3:$C$86,0))</f>
        <v>#N/A</v>
      </c>
      <c r="N26" s="73" t="e">
        <f>INDEX('Справочник цен'!J$3:J$88,MATCH('Калькулятор затрат'!$B26,'Справочник цен'!$C$3:$C$86,0))</f>
        <v>#N/A</v>
      </c>
      <c r="O26" s="73" t="e">
        <f t="shared" si="8"/>
        <v>#N/A</v>
      </c>
      <c r="P26" s="73" t="e">
        <f t="shared" si="9"/>
        <v>#N/A</v>
      </c>
      <c r="Q26" s="127" t="e">
        <f t="shared" si="10"/>
        <v>#N/A</v>
      </c>
      <c r="R26" s="136" t="e">
        <f>INDEX('Справочник цен'!K$3:K$88,MATCH('Калькулятор затрат'!$B26,'Справочник цен'!$C$3:$C$86,0))</f>
        <v>#N/A</v>
      </c>
      <c r="S26" s="73" t="e">
        <f>INDEX('Справочник цен'!L$3:L$88,MATCH('Калькулятор затрат'!$B26,'Справочник цен'!$C$3:$C$86,0))</f>
        <v>#N/A</v>
      </c>
      <c r="T26" s="73" t="e">
        <f t="shared" si="11"/>
        <v>#N/A</v>
      </c>
      <c r="U26" s="73" t="e">
        <f t="shared" si="12"/>
        <v>#N/A</v>
      </c>
      <c r="V26" s="125" t="e">
        <f t="shared" si="13"/>
        <v>#N/A</v>
      </c>
      <c r="W26" s="138" t="e">
        <f>INDEX('Справочник цен'!M$3:M$88,MATCH('Калькулятор затрат'!$B26,'Справочник цен'!$C$3:$C$86,0))</f>
        <v>#N/A</v>
      </c>
      <c r="X26" s="73" t="e">
        <f>INDEX('Справочник цен'!N$3:N$88,MATCH('Калькулятор затрат'!$B26,'Справочник цен'!$C$3:$C$86,0))</f>
        <v>#N/A</v>
      </c>
      <c r="Y26" s="73" t="e">
        <f t="shared" si="14"/>
        <v>#N/A</v>
      </c>
      <c r="Z26" s="73" t="e">
        <f t="shared" si="15"/>
        <v>#N/A</v>
      </c>
      <c r="AA26" s="127" t="e">
        <f t="shared" si="16"/>
        <v>#N/A</v>
      </c>
      <c r="AB26" s="149"/>
    </row>
    <row r="27" spans="1:28">
      <c r="A27" s="140"/>
      <c r="B27" s="144"/>
      <c r="C27" s="142" t="e">
        <f>INDEX('Справочник цен'!$D$3:$D$88,MATCH('Калькулятор затрат'!B27,'Справочник цен'!$C$3:$C$88,0))</f>
        <v>#N/A</v>
      </c>
      <c r="D27" s="154">
        <f>SUMIF('Справочник цен'!$C$2:$C$88,$B27,'Справочник цен'!E$2:E$88)</f>
        <v>0</v>
      </c>
      <c r="E27" s="73" t="e">
        <f t="shared" si="2"/>
        <v>#DIV/0!</v>
      </c>
      <c r="F27" s="73">
        <f>SUMIF('Справочник цен'!C$3:C$88,B27,'Справочник цен'!F$3:F$88)</f>
        <v>0</v>
      </c>
      <c r="G27" s="73" t="e">
        <f t="shared" si="3"/>
        <v>#DIV/0!</v>
      </c>
      <c r="H27" s="73">
        <f>SUMIF('Справочник цен'!$C$2:$C$88,$B27,'Справочник цен'!G$2:G$88)</f>
        <v>0</v>
      </c>
      <c r="I27" s="73">
        <f t="shared" si="4"/>
        <v>0</v>
      </c>
      <c r="J27" s="154">
        <f t="shared" si="5"/>
        <v>0</v>
      </c>
      <c r="K27" s="154" t="e">
        <f t="shared" si="6"/>
        <v>#DIV/0!</v>
      </c>
      <c r="L27" s="259">
        <f t="shared" si="7"/>
        <v>0</v>
      </c>
      <c r="M27" s="138" t="e">
        <f>INDEX('Справочник цен'!I$3:I$88,MATCH('Калькулятор затрат'!$B27,'Справочник цен'!$C$3:$C$86,0))</f>
        <v>#N/A</v>
      </c>
      <c r="N27" s="73" t="e">
        <f>INDEX('Справочник цен'!J$3:J$88,MATCH('Калькулятор затрат'!$B27,'Справочник цен'!$C$3:$C$86,0))</f>
        <v>#N/A</v>
      </c>
      <c r="O27" s="73" t="e">
        <f t="shared" si="8"/>
        <v>#N/A</v>
      </c>
      <c r="P27" s="73" t="e">
        <f t="shared" si="9"/>
        <v>#N/A</v>
      </c>
      <c r="Q27" s="127" t="e">
        <f t="shared" si="10"/>
        <v>#N/A</v>
      </c>
      <c r="R27" s="136" t="e">
        <f>INDEX('Справочник цен'!K$3:K$88,MATCH('Калькулятор затрат'!$B27,'Справочник цен'!$C$3:$C$86,0))</f>
        <v>#N/A</v>
      </c>
      <c r="S27" s="73" t="e">
        <f>INDEX('Справочник цен'!L$3:L$88,MATCH('Калькулятор затрат'!$B27,'Справочник цен'!$C$3:$C$86,0))</f>
        <v>#N/A</v>
      </c>
      <c r="T27" s="73" t="e">
        <f t="shared" si="11"/>
        <v>#N/A</v>
      </c>
      <c r="U27" s="73" t="e">
        <f t="shared" si="12"/>
        <v>#N/A</v>
      </c>
      <c r="V27" s="125" t="e">
        <f t="shared" si="13"/>
        <v>#N/A</v>
      </c>
      <c r="W27" s="138" t="e">
        <f>INDEX('Справочник цен'!M$3:M$88,MATCH('Калькулятор затрат'!$B27,'Справочник цен'!$C$3:$C$86,0))</f>
        <v>#N/A</v>
      </c>
      <c r="X27" s="73" t="e">
        <f>INDEX('Справочник цен'!N$3:N$88,MATCH('Калькулятор затрат'!$B27,'Справочник цен'!$C$3:$C$86,0))</f>
        <v>#N/A</v>
      </c>
      <c r="Y27" s="73" t="e">
        <f t="shared" si="14"/>
        <v>#N/A</v>
      </c>
      <c r="Z27" s="73" t="e">
        <f t="shared" si="15"/>
        <v>#N/A</v>
      </c>
      <c r="AA27" s="127" t="e">
        <f t="shared" si="16"/>
        <v>#N/A</v>
      </c>
      <c r="AB27" s="149"/>
    </row>
    <row r="28" spans="1:28">
      <c r="A28" s="140"/>
      <c r="B28" s="144"/>
      <c r="C28" s="142" t="e">
        <f>INDEX('Справочник цен'!$D$3:$D$88,MATCH('Калькулятор затрат'!B28,'Справочник цен'!$C$3:$C$88,0))</f>
        <v>#N/A</v>
      </c>
      <c r="D28" s="154">
        <f>SUMIF('Справочник цен'!$C$2:$C$88,$B28,'Справочник цен'!E$2:E$88)</f>
        <v>0</v>
      </c>
      <c r="E28" s="73" t="e">
        <f t="shared" si="2"/>
        <v>#DIV/0!</v>
      </c>
      <c r="F28" s="73">
        <f>SUMIF('Справочник цен'!C$3:C$88,B28,'Справочник цен'!F$3:F$88)</f>
        <v>0</v>
      </c>
      <c r="G28" s="73" t="e">
        <f t="shared" si="3"/>
        <v>#DIV/0!</v>
      </c>
      <c r="H28" s="73">
        <f>SUMIF('Справочник цен'!$C$2:$C$88,$B28,'Справочник цен'!G$2:G$88)</f>
        <v>0</v>
      </c>
      <c r="I28" s="73">
        <f t="shared" si="4"/>
        <v>0</v>
      </c>
      <c r="J28" s="154">
        <f t="shared" si="5"/>
        <v>0</v>
      </c>
      <c r="K28" s="154" t="e">
        <f t="shared" si="6"/>
        <v>#DIV/0!</v>
      </c>
      <c r="L28" s="259">
        <f t="shared" si="7"/>
        <v>0</v>
      </c>
      <c r="M28" s="138" t="e">
        <f>INDEX('Справочник цен'!I$3:I$88,MATCH('Калькулятор затрат'!$B28,'Справочник цен'!$C$3:$C$86,0))</f>
        <v>#N/A</v>
      </c>
      <c r="N28" s="73" t="e">
        <f>INDEX('Справочник цен'!J$3:J$88,MATCH('Калькулятор затрат'!$B28,'Справочник цен'!$C$3:$C$86,0))</f>
        <v>#N/A</v>
      </c>
      <c r="O28" s="73" t="e">
        <f t="shared" si="8"/>
        <v>#N/A</v>
      </c>
      <c r="P28" s="73" t="e">
        <f t="shared" si="9"/>
        <v>#N/A</v>
      </c>
      <c r="Q28" s="127" t="e">
        <f t="shared" si="10"/>
        <v>#N/A</v>
      </c>
      <c r="R28" s="136" t="e">
        <f>INDEX('Справочник цен'!K$3:K$88,MATCH('Калькулятор затрат'!$B28,'Справочник цен'!$C$3:$C$86,0))</f>
        <v>#N/A</v>
      </c>
      <c r="S28" s="73" t="e">
        <f>INDEX('Справочник цен'!L$3:L$88,MATCH('Калькулятор затрат'!$B28,'Справочник цен'!$C$3:$C$86,0))</f>
        <v>#N/A</v>
      </c>
      <c r="T28" s="73" t="e">
        <f t="shared" si="11"/>
        <v>#N/A</v>
      </c>
      <c r="U28" s="73" t="e">
        <f t="shared" si="12"/>
        <v>#N/A</v>
      </c>
      <c r="V28" s="125" t="e">
        <f t="shared" si="13"/>
        <v>#N/A</v>
      </c>
      <c r="W28" s="138" t="e">
        <f>INDEX('Справочник цен'!M$3:M$88,MATCH('Калькулятор затрат'!$B28,'Справочник цен'!$C$3:$C$86,0))</f>
        <v>#N/A</v>
      </c>
      <c r="X28" s="73" t="e">
        <f>INDEX('Справочник цен'!N$3:N$88,MATCH('Калькулятор затрат'!$B28,'Справочник цен'!$C$3:$C$86,0))</f>
        <v>#N/A</v>
      </c>
      <c r="Y28" s="73" t="e">
        <f t="shared" si="14"/>
        <v>#N/A</v>
      </c>
      <c r="Z28" s="73" t="e">
        <f t="shared" si="15"/>
        <v>#N/A</v>
      </c>
      <c r="AA28" s="127" t="e">
        <f t="shared" si="16"/>
        <v>#N/A</v>
      </c>
      <c r="AB28" s="149"/>
    </row>
    <row r="29" spans="1:28">
      <c r="A29" s="140"/>
      <c r="B29" s="144"/>
      <c r="C29" s="142" t="e">
        <f>INDEX('Справочник цен'!$D$3:$D$88,MATCH('Калькулятор затрат'!B29,'Справочник цен'!$C$3:$C$88,0))</f>
        <v>#N/A</v>
      </c>
      <c r="D29" s="154">
        <f>SUMIF('Справочник цен'!$C$2:$C$88,$B29,'Справочник цен'!E$2:E$88)</f>
        <v>0</v>
      </c>
      <c r="E29" s="73" t="e">
        <f t="shared" si="2"/>
        <v>#DIV/0!</v>
      </c>
      <c r="F29" s="73">
        <f>SUMIF('Справочник цен'!C$3:C$88,B29,'Справочник цен'!F$3:F$88)</f>
        <v>0</v>
      </c>
      <c r="G29" s="73" t="e">
        <f t="shared" si="3"/>
        <v>#DIV/0!</v>
      </c>
      <c r="H29" s="73">
        <f>SUMIF('Справочник цен'!$C$2:$C$88,$B29,'Справочник цен'!G$2:G$88)</f>
        <v>0</v>
      </c>
      <c r="I29" s="73">
        <f t="shared" si="4"/>
        <v>0</v>
      </c>
      <c r="J29" s="154">
        <f t="shared" si="5"/>
        <v>0</v>
      </c>
      <c r="K29" s="154" t="e">
        <f t="shared" si="6"/>
        <v>#DIV/0!</v>
      </c>
      <c r="L29" s="259">
        <f t="shared" si="7"/>
        <v>0</v>
      </c>
      <c r="M29" s="138" t="e">
        <f>INDEX('Справочник цен'!I$3:I$88,MATCH('Калькулятор затрат'!$B29,'Справочник цен'!$C$3:$C$86,0))</f>
        <v>#N/A</v>
      </c>
      <c r="N29" s="73" t="e">
        <f>INDEX('Справочник цен'!J$3:J$88,MATCH('Калькулятор затрат'!$B29,'Справочник цен'!$C$3:$C$86,0))</f>
        <v>#N/A</v>
      </c>
      <c r="O29" s="73" t="e">
        <f t="shared" si="8"/>
        <v>#N/A</v>
      </c>
      <c r="P29" s="73" t="e">
        <f t="shared" si="9"/>
        <v>#N/A</v>
      </c>
      <c r="Q29" s="127" t="e">
        <f t="shared" si="10"/>
        <v>#N/A</v>
      </c>
      <c r="R29" s="136" t="e">
        <f>INDEX('Справочник цен'!K$3:K$88,MATCH('Калькулятор затрат'!$B29,'Справочник цен'!$C$3:$C$86,0))</f>
        <v>#N/A</v>
      </c>
      <c r="S29" s="73" t="e">
        <f>INDEX('Справочник цен'!L$3:L$88,MATCH('Калькулятор затрат'!$B29,'Справочник цен'!$C$3:$C$86,0))</f>
        <v>#N/A</v>
      </c>
      <c r="T29" s="73" t="e">
        <f t="shared" si="11"/>
        <v>#N/A</v>
      </c>
      <c r="U29" s="73" t="e">
        <f t="shared" si="12"/>
        <v>#N/A</v>
      </c>
      <c r="V29" s="125" t="e">
        <f t="shared" si="13"/>
        <v>#N/A</v>
      </c>
      <c r="W29" s="138" t="e">
        <f>INDEX('Справочник цен'!M$3:M$88,MATCH('Калькулятор затрат'!$B29,'Справочник цен'!$C$3:$C$86,0))</f>
        <v>#N/A</v>
      </c>
      <c r="X29" s="73" t="e">
        <f>INDEX('Справочник цен'!N$3:N$88,MATCH('Калькулятор затрат'!$B29,'Справочник цен'!$C$3:$C$86,0))</f>
        <v>#N/A</v>
      </c>
      <c r="Y29" s="73" t="e">
        <f t="shared" si="14"/>
        <v>#N/A</v>
      </c>
      <c r="Z29" s="73" t="e">
        <f t="shared" si="15"/>
        <v>#N/A</v>
      </c>
      <c r="AA29" s="127" t="e">
        <f t="shared" si="16"/>
        <v>#N/A</v>
      </c>
      <c r="AB29" s="149"/>
    </row>
    <row r="30" spans="1:28">
      <c r="A30" s="140"/>
      <c r="B30" s="144"/>
      <c r="C30" s="142" t="e">
        <f>INDEX('Справочник цен'!$D$3:$D$88,MATCH('Калькулятор затрат'!B30,'Справочник цен'!$C$3:$C$88,0))</f>
        <v>#N/A</v>
      </c>
      <c r="D30" s="154">
        <f>SUMIF('Справочник цен'!$C$2:$C$88,$B30,'Справочник цен'!E$2:E$88)</f>
        <v>0</v>
      </c>
      <c r="E30" s="73" t="e">
        <f t="shared" si="2"/>
        <v>#DIV/0!</v>
      </c>
      <c r="F30" s="73">
        <f>SUMIF('Справочник цен'!C$3:C$88,B30,'Справочник цен'!F$3:F$88)</f>
        <v>0</v>
      </c>
      <c r="G30" s="73" t="e">
        <f t="shared" si="3"/>
        <v>#DIV/0!</v>
      </c>
      <c r="H30" s="73">
        <f>SUMIF('Справочник цен'!$C$2:$C$88,$B30,'Справочник цен'!G$2:G$88)</f>
        <v>0</v>
      </c>
      <c r="I30" s="73">
        <f t="shared" si="4"/>
        <v>0</v>
      </c>
      <c r="J30" s="154">
        <f t="shared" si="5"/>
        <v>0</v>
      </c>
      <c r="K30" s="154" t="e">
        <f t="shared" si="6"/>
        <v>#DIV/0!</v>
      </c>
      <c r="L30" s="259">
        <f t="shared" si="7"/>
        <v>0</v>
      </c>
      <c r="M30" s="138" t="e">
        <f>INDEX('Справочник цен'!I$3:I$88,MATCH('Калькулятор затрат'!$B30,'Справочник цен'!$C$3:$C$86,0))</f>
        <v>#N/A</v>
      </c>
      <c r="N30" s="73" t="e">
        <f>INDEX('Справочник цен'!J$3:J$88,MATCH('Калькулятор затрат'!$B30,'Справочник цен'!$C$3:$C$86,0))</f>
        <v>#N/A</v>
      </c>
      <c r="O30" s="73" t="e">
        <f t="shared" si="8"/>
        <v>#N/A</v>
      </c>
      <c r="P30" s="73" t="e">
        <f t="shared" si="9"/>
        <v>#N/A</v>
      </c>
      <c r="Q30" s="127" t="e">
        <f t="shared" si="10"/>
        <v>#N/A</v>
      </c>
      <c r="R30" s="136" t="e">
        <f>INDEX('Справочник цен'!K$3:K$88,MATCH('Калькулятор затрат'!$B30,'Справочник цен'!$C$3:$C$86,0))</f>
        <v>#N/A</v>
      </c>
      <c r="S30" s="73" t="e">
        <f>INDEX('Справочник цен'!L$3:L$88,MATCH('Калькулятор затрат'!$B30,'Справочник цен'!$C$3:$C$86,0))</f>
        <v>#N/A</v>
      </c>
      <c r="T30" s="73" t="e">
        <f t="shared" si="11"/>
        <v>#N/A</v>
      </c>
      <c r="U30" s="73" t="e">
        <f t="shared" si="12"/>
        <v>#N/A</v>
      </c>
      <c r="V30" s="125" t="e">
        <f t="shared" si="13"/>
        <v>#N/A</v>
      </c>
      <c r="W30" s="138" t="e">
        <f>INDEX('Справочник цен'!M$3:M$88,MATCH('Калькулятор затрат'!$B30,'Справочник цен'!$C$3:$C$86,0))</f>
        <v>#N/A</v>
      </c>
      <c r="X30" s="73" t="e">
        <f>INDEX('Справочник цен'!N$3:N$88,MATCH('Калькулятор затрат'!$B30,'Справочник цен'!$C$3:$C$86,0))</f>
        <v>#N/A</v>
      </c>
      <c r="Y30" s="73" t="e">
        <f t="shared" si="14"/>
        <v>#N/A</v>
      </c>
      <c r="Z30" s="73" t="e">
        <f t="shared" si="15"/>
        <v>#N/A</v>
      </c>
      <c r="AA30" s="127" t="e">
        <f t="shared" si="16"/>
        <v>#N/A</v>
      </c>
      <c r="AB30" s="149"/>
    </row>
    <row r="31" spans="1:28">
      <c r="A31" s="140"/>
      <c r="B31" s="144"/>
      <c r="C31" s="142" t="e">
        <f>INDEX('Справочник цен'!$D$3:$D$88,MATCH('Калькулятор затрат'!B31,'Справочник цен'!$C$3:$C$88,0))</f>
        <v>#N/A</v>
      </c>
      <c r="D31" s="154">
        <f>SUMIF('Справочник цен'!$C$2:$C$88,$B31,'Справочник цен'!E$2:E$88)</f>
        <v>0</v>
      </c>
      <c r="E31" s="73" t="e">
        <f t="shared" si="2"/>
        <v>#DIV/0!</v>
      </c>
      <c r="F31" s="73">
        <f>SUMIF('Справочник цен'!C$3:C$88,B31,'Справочник цен'!F$3:F$88)</f>
        <v>0</v>
      </c>
      <c r="G31" s="73" t="e">
        <f t="shared" si="3"/>
        <v>#DIV/0!</v>
      </c>
      <c r="H31" s="73">
        <f>SUMIF('Справочник цен'!$C$2:$C$88,$B31,'Справочник цен'!G$2:G$88)</f>
        <v>0</v>
      </c>
      <c r="I31" s="73">
        <f t="shared" si="4"/>
        <v>0</v>
      </c>
      <c r="J31" s="154">
        <f t="shared" si="5"/>
        <v>0</v>
      </c>
      <c r="K31" s="154" t="e">
        <f t="shared" si="6"/>
        <v>#DIV/0!</v>
      </c>
      <c r="L31" s="259">
        <f t="shared" si="7"/>
        <v>0</v>
      </c>
      <c r="M31" s="138" t="e">
        <f>INDEX('Справочник цен'!I$3:I$88,MATCH('Калькулятор затрат'!$B31,'Справочник цен'!$C$3:$C$86,0))</f>
        <v>#N/A</v>
      </c>
      <c r="N31" s="73" t="e">
        <f>INDEX('Справочник цен'!J$3:J$88,MATCH('Калькулятор затрат'!$B31,'Справочник цен'!$C$3:$C$86,0))</f>
        <v>#N/A</v>
      </c>
      <c r="O31" s="73" t="e">
        <f t="shared" si="8"/>
        <v>#N/A</v>
      </c>
      <c r="P31" s="73" t="e">
        <f t="shared" si="9"/>
        <v>#N/A</v>
      </c>
      <c r="Q31" s="127" t="e">
        <f t="shared" si="10"/>
        <v>#N/A</v>
      </c>
      <c r="R31" s="136" t="e">
        <f>INDEX('Справочник цен'!K$3:K$88,MATCH('Калькулятор затрат'!$B31,'Справочник цен'!$C$3:$C$86,0))</f>
        <v>#N/A</v>
      </c>
      <c r="S31" s="73" t="e">
        <f>INDEX('Справочник цен'!L$3:L$88,MATCH('Калькулятор затрат'!$B31,'Справочник цен'!$C$3:$C$86,0))</f>
        <v>#N/A</v>
      </c>
      <c r="T31" s="73" t="e">
        <f t="shared" si="11"/>
        <v>#N/A</v>
      </c>
      <c r="U31" s="73" t="e">
        <f t="shared" si="12"/>
        <v>#N/A</v>
      </c>
      <c r="V31" s="125" t="e">
        <f t="shared" si="13"/>
        <v>#N/A</v>
      </c>
      <c r="W31" s="138" t="e">
        <f>INDEX('Справочник цен'!M$3:M$88,MATCH('Калькулятор затрат'!$B31,'Справочник цен'!$C$3:$C$86,0))</f>
        <v>#N/A</v>
      </c>
      <c r="X31" s="73" t="e">
        <f>INDEX('Справочник цен'!N$3:N$88,MATCH('Калькулятор затрат'!$B31,'Справочник цен'!$C$3:$C$86,0))</f>
        <v>#N/A</v>
      </c>
      <c r="Y31" s="73" t="e">
        <f t="shared" si="14"/>
        <v>#N/A</v>
      </c>
      <c r="Z31" s="73" t="e">
        <f t="shared" si="15"/>
        <v>#N/A</v>
      </c>
      <c r="AA31" s="127" t="e">
        <f t="shared" si="16"/>
        <v>#N/A</v>
      </c>
      <c r="AB31" s="149"/>
    </row>
    <row r="32" spans="1:28">
      <c r="A32" s="140"/>
      <c r="B32" s="144"/>
      <c r="C32" s="142" t="e">
        <f>INDEX('Справочник цен'!$D$3:$D$88,MATCH('Калькулятор затрат'!B32,'Справочник цен'!$C$3:$C$88,0))</f>
        <v>#N/A</v>
      </c>
      <c r="D32" s="154">
        <f>SUMIF('Справочник цен'!$C$2:$C$88,$B32,'Справочник цен'!E$2:E$88)</f>
        <v>0</v>
      </c>
      <c r="E32" s="73" t="e">
        <f t="shared" si="2"/>
        <v>#DIV/0!</v>
      </c>
      <c r="F32" s="73">
        <f>SUMIF('Справочник цен'!C$3:C$88,B32,'Справочник цен'!F$3:F$88)</f>
        <v>0</v>
      </c>
      <c r="G32" s="73" t="e">
        <f t="shared" si="3"/>
        <v>#DIV/0!</v>
      </c>
      <c r="H32" s="73">
        <f>SUMIF('Справочник цен'!$C$2:$C$88,$B32,'Справочник цен'!G$2:G$88)</f>
        <v>0</v>
      </c>
      <c r="I32" s="73">
        <f t="shared" si="4"/>
        <v>0</v>
      </c>
      <c r="J32" s="154">
        <f t="shared" si="5"/>
        <v>0</v>
      </c>
      <c r="K32" s="154" t="e">
        <f t="shared" si="6"/>
        <v>#DIV/0!</v>
      </c>
      <c r="L32" s="259">
        <f t="shared" si="7"/>
        <v>0</v>
      </c>
      <c r="M32" s="138" t="e">
        <f>INDEX('Справочник цен'!I$3:I$88,MATCH('Калькулятор затрат'!$B32,'Справочник цен'!$C$3:$C$86,0))</f>
        <v>#N/A</v>
      </c>
      <c r="N32" s="73" t="e">
        <f>INDEX('Справочник цен'!J$3:J$88,MATCH('Калькулятор затрат'!$B32,'Справочник цен'!$C$3:$C$86,0))</f>
        <v>#N/A</v>
      </c>
      <c r="O32" s="73" t="e">
        <f t="shared" si="8"/>
        <v>#N/A</v>
      </c>
      <c r="P32" s="73" t="e">
        <f t="shared" si="9"/>
        <v>#N/A</v>
      </c>
      <c r="Q32" s="127" t="e">
        <f t="shared" si="10"/>
        <v>#N/A</v>
      </c>
      <c r="R32" s="136" t="e">
        <f>INDEX('Справочник цен'!K$3:K$88,MATCH('Калькулятор затрат'!$B32,'Справочник цен'!$C$3:$C$86,0))</f>
        <v>#N/A</v>
      </c>
      <c r="S32" s="73" t="e">
        <f>INDEX('Справочник цен'!L$3:L$88,MATCH('Калькулятор затрат'!$B32,'Справочник цен'!$C$3:$C$86,0))</f>
        <v>#N/A</v>
      </c>
      <c r="T32" s="73" t="e">
        <f t="shared" si="11"/>
        <v>#N/A</v>
      </c>
      <c r="U32" s="73" t="e">
        <f t="shared" si="12"/>
        <v>#N/A</v>
      </c>
      <c r="V32" s="125" t="e">
        <f t="shared" si="13"/>
        <v>#N/A</v>
      </c>
      <c r="W32" s="138" t="e">
        <f>INDEX('Справочник цен'!M$3:M$88,MATCH('Калькулятор затрат'!$B32,'Справочник цен'!$C$3:$C$86,0))</f>
        <v>#N/A</v>
      </c>
      <c r="X32" s="73" t="e">
        <f>INDEX('Справочник цен'!N$3:N$88,MATCH('Калькулятор затрат'!$B32,'Справочник цен'!$C$3:$C$86,0))</f>
        <v>#N/A</v>
      </c>
      <c r="Y32" s="73" t="e">
        <f t="shared" si="14"/>
        <v>#N/A</v>
      </c>
      <c r="Z32" s="73" t="e">
        <f t="shared" si="15"/>
        <v>#N/A</v>
      </c>
      <c r="AA32" s="127" t="e">
        <f t="shared" si="16"/>
        <v>#N/A</v>
      </c>
      <c r="AB32" s="149"/>
    </row>
    <row r="33" spans="1:28">
      <c r="A33" s="140"/>
      <c r="B33" s="144"/>
      <c r="C33" s="142" t="e">
        <f>INDEX('Справочник цен'!$D$3:$D$88,MATCH('Калькулятор затрат'!B33,'Справочник цен'!$C$3:$C$88,0))</f>
        <v>#N/A</v>
      </c>
      <c r="D33" s="154">
        <f>SUMIF('Справочник цен'!$C$2:$C$88,$B33,'Справочник цен'!E$2:E$88)</f>
        <v>0</v>
      </c>
      <c r="E33" s="73" t="e">
        <f t="shared" si="2"/>
        <v>#DIV/0!</v>
      </c>
      <c r="F33" s="73">
        <f>SUMIF('Справочник цен'!C$3:C$88,B33,'Справочник цен'!F$3:F$88)</f>
        <v>0</v>
      </c>
      <c r="G33" s="73" t="e">
        <f t="shared" si="3"/>
        <v>#DIV/0!</v>
      </c>
      <c r="H33" s="73">
        <f>SUMIF('Справочник цен'!$C$2:$C$88,$B33,'Справочник цен'!G$2:G$88)</f>
        <v>0</v>
      </c>
      <c r="I33" s="73">
        <f t="shared" si="4"/>
        <v>0</v>
      </c>
      <c r="J33" s="154">
        <f t="shared" si="5"/>
        <v>0</v>
      </c>
      <c r="K33" s="154" t="e">
        <f t="shared" si="6"/>
        <v>#DIV/0!</v>
      </c>
      <c r="L33" s="259">
        <f t="shared" si="7"/>
        <v>0</v>
      </c>
      <c r="M33" s="138" t="e">
        <f>INDEX('Справочник цен'!I$3:I$88,MATCH('Калькулятор затрат'!$B33,'Справочник цен'!$C$3:$C$86,0))</f>
        <v>#N/A</v>
      </c>
      <c r="N33" s="73" t="e">
        <f>INDEX('Справочник цен'!J$3:J$88,MATCH('Калькулятор затрат'!$B33,'Справочник цен'!$C$3:$C$86,0))</f>
        <v>#N/A</v>
      </c>
      <c r="O33" s="73" t="e">
        <f t="shared" si="8"/>
        <v>#N/A</v>
      </c>
      <c r="P33" s="73" t="e">
        <f t="shared" si="9"/>
        <v>#N/A</v>
      </c>
      <c r="Q33" s="127" t="e">
        <f t="shared" si="10"/>
        <v>#N/A</v>
      </c>
      <c r="R33" s="136" t="e">
        <f>INDEX('Справочник цен'!K$3:K$88,MATCH('Калькулятор затрат'!$B33,'Справочник цен'!$C$3:$C$86,0))</f>
        <v>#N/A</v>
      </c>
      <c r="S33" s="73" t="e">
        <f>INDEX('Справочник цен'!L$3:L$88,MATCH('Калькулятор затрат'!$B33,'Справочник цен'!$C$3:$C$86,0))</f>
        <v>#N/A</v>
      </c>
      <c r="T33" s="73" t="e">
        <f t="shared" si="11"/>
        <v>#N/A</v>
      </c>
      <c r="U33" s="73" t="e">
        <f t="shared" si="12"/>
        <v>#N/A</v>
      </c>
      <c r="V33" s="125" t="e">
        <f t="shared" si="13"/>
        <v>#N/A</v>
      </c>
      <c r="W33" s="138" t="e">
        <f>INDEX('Справочник цен'!M$3:M$88,MATCH('Калькулятор затрат'!$B33,'Справочник цен'!$C$3:$C$86,0))</f>
        <v>#N/A</v>
      </c>
      <c r="X33" s="73" t="e">
        <f>INDEX('Справочник цен'!N$3:N$88,MATCH('Калькулятор затрат'!$B33,'Справочник цен'!$C$3:$C$86,0))</f>
        <v>#N/A</v>
      </c>
      <c r="Y33" s="73" t="e">
        <f t="shared" si="14"/>
        <v>#N/A</v>
      </c>
      <c r="Z33" s="73" t="e">
        <f t="shared" si="15"/>
        <v>#N/A</v>
      </c>
      <c r="AA33" s="127" t="e">
        <f t="shared" si="16"/>
        <v>#N/A</v>
      </c>
      <c r="AB33" s="149"/>
    </row>
    <row r="34" spans="1:28">
      <c r="A34" s="140"/>
      <c r="B34" s="144"/>
      <c r="C34" s="142" t="e">
        <f>INDEX('Справочник цен'!$D$3:$D$88,MATCH('Калькулятор затрат'!B34,'Справочник цен'!$C$3:$C$88,0))</f>
        <v>#N/A</v>
      </c>
      <c r="D34" s="154">
        <f>SUMIF('Справочник цен'!$C$2:$C$88,$B34,'Справочник цен'!E$2:E$88)</f>
        <v>0</v>
      </c>
      <c r="E34" s="73" t="e">
        <f t="shared" si="2"/>
        <v>#DIV/0!</v>
      </c>
      <c r="F34" s="73">
        <f>SUMIF('Справочник цен'!C$3:C$88,B34,'Справочник цен'!F$3:F$88)</f>
        <v>0</v>
      </c>
      <c r="G34" s="73" t="e">
        <f t="shared" si="3"/>
        <v>#DIV/0!</v>
      </c>
      <c r="H34" s="73">
        <f>SUMIF('Справочник цен'!$C$2:$C$88,$B34,'Справочник цен'!G$2:G$88)</f>
        <v>0</v>
      </c>
      <c r="I34" s="73">
        <f t="shared" si="4"/>
        <v>0</v>
      </c>
      <c r="J34" s="154">
        <f t="shared" si="5"/>
        <v>0</v>
      </c>
      <c r="K34" s="154" t="e">
        <f t="shared" si="6"/>
        <v>#DIV/0!</v>
      </c>
      <c r="L34" s="259">
        <f t="shared" si="7"/>
        <v>0</v>
      </c>
      <c r="M34" s="138" t="e">
        <f>INDEX('Справочник цен'!I$3:I$88,MATCH('Калькулятор затрат'!$B34,'Справочник цен'!$C$3:$C$86,0))</f>
        <v>#N/A</v>
      </c>
      <c r="N34" s="73" t="e">
        <f>INDEX('Справочник цен'!J$3:J$88,MATCH('Калькулятор затрат'!$B34,'Справочник цен'!$C$3:$C$86,0))</f>
        <v>#N/A</v>
      </c>
      <c r="O34" s="73" t="e">
        <f t="shared" si="8"/>
        <v>#N/A</v>
      </c>
      <c r="P34" s="73" t="e">
        <f t="shared" si="9"/>
        <v>#N/A</v>
      </c>
      <c r="Q34" s="127" t="e">
        <f t="shared" si="10"/>
        <v>#N/A</v>
      </c>
      <c r="R34" s="136" t="e">
        <f>INDEX('Справочник цен'!K$3:K$88,MATCH('Калькулятор затрат'!$B34,'Справочник цен'!$C$3:$C$86,0))</f>
        <v>#N/A</v>
      </c>
      <c r="S34" s="73" t="e">
        <f>INDEX('Справочник цен'!L$3:L$88,MATCH('Калькулятор затрат'!$B34,'Справочник цен'!$C$3:$C$86,0))</f>
        <v>#N/A</v>
      </c>
      <c r="T34" s="73" t="e">
        <f t="shared" si="11"/>
        <v>#N/A</v>
      </c>
      <c r="U34" s="73" t="e">
        <f t="shared" si="12"/>
        <v>#N/A</v>
      </c>
      <c r="V34" s="125" t="e">
        <f t="shared" si="13"/>
        <v>#N/A</v>
      </c>
      <c r="W34" s="138" t="e">
        <f>INDEX('Справочник цен'!M$3:M$88,MATCH('Калькулятор затрат'!$B34,'Справочник цен'!$C$3:$C$86,0))</f>
        <v>#N/A</v>
      </c>
      <c r="X34" s="73" t="e">
        <f>INDEX('Справочник цен'!N$3:N$88,MATCH('Калькулятор затрат'!$B34,'Справочник цен'!$C$3:$C$86,0))</f>
        <v>#N/A</v>
      </c>
      <c r="Y34" s="73" t="e">
        <f t="shared" si="14"/>
        <v>#N/A</v>
      </c>
      <c r="Z34" s="73" t="e">
        <f t="shared" si="15"/>
        <v>#N/A</v>
      </c>
      <c r="AA34" s="127" t="e">
        <f t="shared" si="16"/>
        <v>#N/A</v>
      </c>
      <c r="AB34" s="149"/>
    </row>
    <row r="35" spans="1:28">
      <c r="A35" s="140"/>
      <c r="B35" s="144"/>
      <c r="C35" s="142" t="e">
        <f>INDEX('Справочник цен'!$D$3:$D$88,MATCH('Калькулятор затрат'!B35,'Справочник цен'!$C$3:$C$88,0))</f>
        <v>#N/A</v>
      </c>
      <c r="D35" s="154">
        <f>SUMIF('Справочник цен'!$C$2:$C$88,$B35,'Справочник цен'!E$2:E$88)</f>
        <v>0</v>
      </c>
      <c r="E35" s="73" t="e">
        <f t="shared" si="2"/>
        <v>#DIV/0!</v>
      </c>
      <c r="F35" s="73">
        <f>SUMIF('Справочник цен'!C$3:C$88,B35,'Справочник цен'!F$3:F$88)</f>
        <v>0</v>
      </c>
      <c r="G35" s="73" t="e">
        <f t="shared" si="3"/>
        <v>#DIV/0!</v>
      </c>
      <c r="H35" s="73">
        <f>SUMIF('Справочник цен'!$C$2:$C$88,$B35,'Справочник цен'!G$2:G$88)</f>
        <v>0</v>
      </c>
      <c r="I35" s="73">
        <f t="shared" si="4"/>
        <v>0</v>
      </c>
      <c r="J35" s="154">
        <f t="shared" si="5"/>
        <v>0</v>
      </c>
      <c r="K35" s="154" t="e">
        <f t="shared" si="6"/>
        <v>#DIV/0!</v>
      </c>
      <c r="L35" s="259">
        <f t="shared" si="7"/>
        <v>0</v>
      </c>
      <c r="M35" s="138" t="e">
        <f>INDEX('Справочник цен'!I$3:I$88,MATCH('Калькулятор затрат'!$B35,'Справочник цен'!$C$3:$C$86,0))</f>
        <v>#N/A</v>
      </c>
      <c r="N35" s="73" t="e">
        <f>INDEX('Справочник цен'!J$3:J$88,MATCH('Калькулятор затрат'!$B35,'Справочник цен'!$C$3:$C$86,0))</f>
        <v>#N/A</v>
      </c>
      <c r="O35" s="73" t="e">
        <f t="shared" si="8"/>
        <v>#N/A</v>
      </c>
      <c r="P35" s="73" t="e">
        <f t="shared" si="9"/>
        <v>#N/A</v>
      </c>
      <c r="Q35" s="127" t="e">
        <f t="shared" si="10"/>
        <v>#N/A</v>
      </c>
      <c r="R35" s="136" t="e">
        <f>INDEX('Справочник цен'!K$3:K$88,MATCH('Калькулятор затрат'!$B35,'Справочник цен'!$C$3:$C$86,0))</f>
        <v>#N/A</v>
      </c>
      <c r="S35" s="73" t="e">
        <f>INDEX('Справочник цен'!L$3:L$88,MATCH('Калькулятор затрат'!$B35,'Справочник цен'!$C$3:$C$86,0))</f>
        <v>#N/A</v>
      </c>
      <c r="T35" s="73" t="e">
        <f t="shared" si="11"/>
        <v>#N/A</v>
      </c>
      <c r="U35" s="73" t="e">
        <f t="shared" si="12"/>
        <v>#N/A</v>
      </c>
      <c r="V35" s="125" t="e">
        <f t="shared" si="13"/>
        <v>#N/A</v>
      </c>
      <c r="W35" s="138" t="e">
        <f>INDEX('Справочник цен'!M$3:M$88,MATCH('Калькулятор затрат'!$B35,'Справочник цен'!$C$3:$C$86,0))</f>
        <v>#N/A</v>
      </c>
      <c r="X35" s="73" t="e">
        <f>INDEX('Справочник цен'!N$3:N$88,MATCH('Калькулятор затрат'!$B35,'Справочник цен'!$C$3:$C$86,0))</f>
        <v>#N/A</v>
      </c>
      <c r="Y35" s="73" t="e">
        <f t="shared" si="14"/>
        <v>#N/A</v>
      </c>
      <c r="Z35" s="73" t="e">
        <f t="shared" si="15"/>
        <v>#N/A</v>
      </c>
      <c r="AA35" s="127" t="e">
        <f t="shared" si="16"/>
        <v>#N/A</v>
      </c>
      <c r="AB35" s="149"/>
    </row>
    <row r="36" spans="1:28">
      <c r="A36" s="140"/>
      <c r="B36" s="144"/>
      <c r="C36" s="142" t="e">
        <f>INDEX('Справочник цен'!$D$3:$D$88,MATCH('Калькулятор затрат'!B36,'Справочник цен'!$C$3:$C$88,0))</f>
        <v>#N/A</v>
      </c>
      <c r="D36" s="154">
        <f>SUMIF('Справочник цен'!$C$2:$C$88,$B36,'Справочник цен'!E$2:E$88)</f>
        <v>0</v>
      </c>
      <c r="E36" s="73" t="e">
        <f t="shared" si="2"/>
        <v>#DIV/0!</v>
      </c>
      <c r="F36" s="73">
        <f>SUMIF('Справочник цен'!C$3:C$88,B36,'Справочник цен'!F$3:F$88)</f>
        <v>0</v>
      </c>
      <c r="G36" s="73" t="e">
        <f t="shared" si="3"/>
        <v>#DIV/0!</v>
      </c>
      <c r="H36" s="73">
        <f>SUMIF('Справочник цен'!$C$2:$C$88,$B36,'Справочник цен'!G$2:G$88)</f>
        <v>0</v>
      </c>
      <c r="I36" s="73">
        <f t="shared" si="4"/>
        <v>0</v>
      </c>
      <c r="J36" s="154">
        <f t="shared" si="5"/>
        <v>0</v>
      </c>
      <c r="K36" s="154" t="e">
        <f t="shared" si="6"/>
        <v>#DIV/0!</v>
      </c>
      <c r="L36" s="259">
        <f t="shared" si="7"/>
        <v>0</v>
      </c>
      <c r="M36" s="138" t="e">
        <f>INDEX('Справочник цен'!I$3:I$88,MATCH('Калькулятор затрат'!$B36,'Справочник цен'!$C$3:$C$86,0))</f>
        <v>#N/A</v>
      </c>
      <c r="N36" s="73" t="e">
        <f>INDEX('Справочник цен'!J$3:J$88,MATCH('Калькулятор затрат'!$B36,'Справочник цен'!$C$3:$C$86,0))</f>
        <v>#N/A</v>
      </c>
      <c r="O36" s="73" t="e">
        <f t="shared" si="8"/>
        <v>#N/A</v>
      </c>
      <c r="P36" s="73" t="e">
        <f t="shared" si="9"/>
        <v>#N/A</v>
      </c>
      <c r="Q36" s="127" t="e">
        <f t="shared" si="10"/>
        <v>#N/A</v>
      </c>
      <c r="R36" s="136" t="e">
        <f>INDEX('Справочник цен'!K$3:K$88,MATCH('Калькулятор затрат'!$B36,'Справочник цен'!$C$3:$C$86,0))</f>
        <v>#N/A</v>
      </c>
      <c r="S36" s="73" t="e">
        <f>INDEX('Справочник цен'!L$3:L$88,MATCH('Калькулятор затрат'!$B36,'Справочник цен'!$C$3:$C$86,0))</f>
        <v>#N/A</v>
      </c>
      <c r="T36" s="73" t="e">
        <f t="shared" si="11"/>
        <v>#N/A</v>
      </c>
      <c r="U36" s="73" t="e">
        <f t="shared" si="12"/>
        <v>#N/A</v>
      </c>
      <c r="V36" s="125" t="e">
        <f t="shared" si="13"/>
        <v>#N/A</v>
      </c>
      <c r="W36" s="138" t="e">
        <f>INDEX('Справочник цен'!M$3:M$88,MATCH('Калькулятор затрат'!$B36,'Справочник цен'!$C$3:$C$86,0))</f>
        <v>#N/A</v>
      </c>
      <c r="X36" s="73" t="e">
        <f>INDEX('Справочник цен'!N$3:N$88,MATCH('Калькулятор затрат'!$B36,'Справочник цен'!$C$3:$C$86,0))</f>
        <v>#N/A</v>
      </c>
      <c r="Y36" s="73" t="e">
        <f t="shared" si="14"/>
        <v>#N/A</v>
      </c>
      <c r="Z36" s="73" t="e">
        <f t="shared" si="15"/>
        <v>#N/A</v>
      </c>
      <c r="AA36" s="127" t="e">
        <f t="shared" si="16"/>
        <v>#N/A</v>
      </c>
      <c r="AB36" s="149"/>
    </row>
    <row r="37" spans="1:28">
      <c r="A37" s="140"/>
      <c r="B37" s="144"/>
      <c r="C37" s="142" t="e">
        <f>INDEX('Справочник цен'!$D$3:$D$88,MATCH('Калькулятор затрат'!B37,'Справочник цен'!$C$3:$C$88,0))</f>
        <v>#N/A</v>
      </c>
      <c r="D37" s="154">
        <f>SUMIF('Справочник цен'!$C$2:$C$88,$B37,'Справочник цен'!E$2:E$88)</f>
        <v>0</v>
      </c>
      <c r="E37" s="73" t="e">
        <f t="shared" si="2"/>
        <v>#DIV/0!</v>
      </c>
      <c r="F37" s="73">
        <f>SUMIF('Справочник цен'!C$3:C$88,B37,'Справочник цен'!F$3:F$88)</f>
        <v>0</v>
      </c>
      <c r="G37" s="73" t="e">
        <f t="shared" si="3"/>
        <v>#DIV/0!</v>
      </c>
      <c r="H37" s="73">
        <f>SUMIF('Справочник цен'!$C$2:$C$88,$B37,'Справочник цен'!G$2:G$88)</f>
        <v>0</v>
      </c>
      <c r="I37" s="73">
        <f t="shared" si="4"/>
        <v>0</v>
      </c>
      <c r="J37" s="154">
        <f t="shared" si="5"/>
        <v>0</v>
      </c>
      <c r="K37" s="154" t="e">
        <f t="shared" si="6"/>
        <v>#DIV/0!</v>
      </c>
      <c r="L37" s="259">
        <f t="shared" si="7"/>
        <v>0</v>
      </c>
      <c r="M37" s="138" t="e">
        <f>INDEX('Справочник цен'!I$3:I$88,MATCH('Калькулятор затрат'!$B37,'Справочник цен'!$C$3:$C$86,0))</f>
        <v>#N/A</v>
      </c>
      <c r="N37" s="73" t="e">
        <f>INDEX('Справочник цен'!J$3:J$88,MATCH('Калькулятор затрат'!$B37,'Справочник цен'!$C$3:$C$86,0))</f>
        <v>#N/A</v>
      </c>
      <c r="O37" s="73" t="e">
        <f t="shared" si="8"/>
        <v>#N/A</v>
      </c>
      <c r="P37" s="73" t="e">
        <f t="shared" si="9"/>
        <v>#N/A</v>
      </c>
      <c r="Q37" s="127" t="e">
        <f t="shared" si="10"/>
        <v>#N/A</v>
      </c>
      <c r="R37" s="136" t="e">
        <f>INDEX('Справочник цен'!K$3:K$88,MATCH('Калькулятор затрат'!$B37,'Справочник цен'!$C$3:$C$86,0))</f>
        <v>#N/A</v>
      </c>
      <c r="S37" s="73" t="e">
        <f>INDEX('Справочник цен'!L$3:L$88,MATCH('Калькулятор затрат'!$B37,'Справочник цен'!$C$3:$C$86,0))</f>
        <v>#N/A</v>
      </c>
      <c r="T37" s="73" t="e">
        <f t="shared" si="11"/>
        <v>#N/A</v>
      </c>
      <c r="U37" s="73" t="e">
        <f t="shared" si="12"/>
        <v>#N/A</v>
      </c>
      <c r="V37" s="125" t="e">
        <f t="shared" si="13"/>
        <v>#N/A</v>
      </c>
      <c r="W37" s="138" t="e">
        <f>INDEX('Справочник цен'!M$3:M$88,MATCH('Калькулятор затрат'!$B37,'Справочник цен'!$C$3:$C$86,0))</f>
        <v>#N/A</v>
      </c>
      <c r="X37" s="73" t="e">
        <f>INDEX('Справочник цен'!N$3:N$88,MATCH('Калькулятор затрат'!$B37,'Справочник цен'!$C$3:$C$86,0))</f>
        <v>#N/A</v>
      </c>
      <c r="Y37" s="73" t="e">
        <f t="shared" si="14"/>
        <v>#N/A</v>
      </c>
      <c r="Z37" s="73" t="e">
        <f t="shared" si="15"/>
        <v>#N/A</v>
      </c>
      <c r="AA37" s="127" t="e">
        <f t="shared" si="16"/>
        <v>#N/A</v>
      </c>
      <c r="AB37" s="149"/>
    </row>
    <row r="38" spans="1:28">
      <c r="A38" s="140"/>
      <c r="B38" s="144"/>
      <c r="C38" s="142" t="e">
        <f>INDEX('Справочник цен'!$D$3:$D$88,MATCH('Калькулятор затрат'!B38,'Справочник цен'!$C$3:$C$88,0))</f>
        <v>#N/A</v>
      </c>
      <c r="D38" s="154">
        <f>SUMIF('Справочник цен'!$C$2:$C$88,$B38,'Справочник цен'!E$2:E$88)</f>
        <v>0</v>
      </c>
      <c r="E38" s="73" t="e">
        <f t="shared" si="2"/>
        <v>#DIV/0!</v>
      </c>
      <c r="F38" s="73">
        <f>SUMIF('Справочник цен'!C$3:C$88,B38,'Справочник цен'!F$3:F$88)</f>
        <v>0</v>
      </c>
      <c r="G38" s="73" t="e">
        <f t="shared" si="3"/>
        <v>#DIV/0!</v>
      </c>
      <c r="H38" s="73">
        <f>SUMIF('Справочник цен'!$C$2:$C$88,$B38,'Справочник цен'!G$2:G$88)</f>
        <v>0</v>
      </c>
      <c r="I38" s="73">
        <f t="shared" si="4"/>
        <v>0</v>
      </c>
      <c r="J38" s="154">
        <f t="shared" si="5"/>
        <v>0</v>
      </c>
      <c r="K38" s="154" t="e">
        <f t="shared" si="6"/>
        <v>#DIV/0!</v>
      </c>
      <c r="L38" s="259">
        <f t="shared" si="7"/>
        <v>0</v>
      </c>
      <c r="M38" s="138" t="e">
        <f>INDEX('Справочник цен'!I$3:I$88,MATCH('Калькулятор затрат'!$B38,'Справочник цен'!$C$3:$C$86,0))</f>
        <v>#N/A</v>
      </c>
      <c r="N38" s="73" t="e">
        <f>INDEX('Справочник цен'!J$3:J$88,MATCH('Калькулятор затрат'!$B38,'Справочник цен'!$C$3:$C$86,0))</f>
        <v>#N/A</v>
      </c>
      <c r="O38" s="73" t="e">
        <f t="shared" si="8"/>
        <v>#N/A</v>
      </c>
      <c r="P38" s="73" t="e">
        <f t="shared" si="9"/>
        <v>#N/A</v>
      </c>
      <c r="Q38" s="127" t="e">
        <f t="shared" si="10"/>
        <v>#N/A</v>
      </c>
      <c r="R38" s="136" t="e">
        <f>INDEX('Справочник цен'!K$3:K$88,MATCH('Калькулятор затрат'!$B38,'Справочник цен'!$C$3:$C$86,0))</f>
        <v>#N/A</v>
      </c>
      <c r="S38" s="73" t="e">
        <f>INDEX('Справочник цен'!L$3:L$88,MATCH('Калькулятор затрат'!$B38,'Справочник цен'!$C$3:$C$86,0))</f>
        <v>#N/A</v>
      </c>
      <c r="T38" s="73" t="e">
        <f t="shared" si="11"/>
        <v>#N/A</v>
      </c>
      <c r="U38" s="73" t="e">
        <f t="shared" si="12"/>
        <v>#N/A</v>
      </c>
      <c r="V38" s="125" t="e">
        <f t="shared" si="13"/>
        <v>#N/A</v>
      </c>
      <c r="W38" s="138" t="e">
        <f>INDEX('Справочник цен'!M$3:M$88,MATCH('Калькулятор затрат'!$B38,'Справочник цен'!$C$3:$C$86,0))</f>
        <v>#N/A</v>
      </c>
      <c r="X38" s="73" t="e">
        <f>INDEX('Справочник цен'!N$3:N$88,MATCH('Калькулятор затрат'!$B38,'Справочник цен'!$C$3:$C$86,0))</f>
        <v>#N/A</v>
      </c>
      <c r="Y38" s="73" t="e">
        <f t="shared" si="14"/>
        <v>#N/A</v>
      </c>
      <c r="Z38" s="73" t="e">
        <f t="shared" si="15"/>
        <v>#N/A</v>
      </c>
      <c r="AA38" s="127" t="e">
        <f t="shared" si="16"/>
        <v>#N/A</v>
      </c>
      <c r="AB38" s="149"/>
    </row>
    <row r="39" spans="1:28">
      <c r="A39" s="140"/>
      <c r="B39" s="144"/>
      <c r="C39" s="142" t="e">
        <f>INDEX('Справочник цен'!$D$3:$D$88,MATCH('Калькулятор затрат'!B39,'Справочник цен'!$C$3:$C$88,0))</f>
        <v>#N/A</v>
      </c>
      <c r="D39" s="154">
        <f>SUMIF('Справочник цен'!$C$2:$C$88,$B39,'Справочник цен'!E$2:E$88)</f>
        <v>0</v>
      </c>
      <c r="E39" s="73" t="e">
        <f t="shared" si="2"/>
        <v>#DIV/0!</v>
      </c>
      <c r="F39" s="73">
        <f>SUMIF('Справочник цен'!C$3:C$88,B39,'Справочник цен'!F$3:F$88)</f>
        <v>0</v>
      </c>
      <c r="G39" s="73" t="e">
        <f t="shared" si="3"/>
        <v>#DIV/0!</v>
      </c>
      <c r="H39" s="73">
        <f>SUMIF('Справочник цен'!$C$2:$C$88,$B39,'Справочник цен'!G$2:G$88)</f>
        <v>0</v>
      </c>
      <c r="I39" s="73">
        <f t="shared" si="4"/>
        <v>0</v>
      </c>
      <c r="J39" s="154">
        <f t="shared" si="5"/>
        <v>0</v>
      </c>
      <c r="K39" s="154" t="e">
        <f t="shared" si="6"/>
        <v>#DIV/0!</v>
      </c>
      <c r="L39" s="259">
        <f t="shared" si="7"/>
        <v>0</v>
      </c>
      <c r="M39" s="138" t="e">
        <f>INDEX('Справочник цен'!I$3:I$88,MATCH('Калькулятор затрат'!$B39,'Справочник цен'!$C$3:$C$86,0))</f>
        <v>#N/A</v>
      </c>
      <c r="N39" s="73" t="e">
        <f>INDEX('Справочник цен'!J$3:J$88,MATCH('Калькулятор затрат'!$B39,'Справочник цен'!$C$3:$C$86,0))</f>
        <v>#N/A</v>
      </c>
      <c r="O39" s="73" t="e">
        <f t="shared" si="8"/>
        <v>#N/A</v>
      </c>
      <c r="P39" s="73" t="e">
        <f t="shared" si="9"/>
        <v>#N/A</v>
      </c>
      <c r="Q39" s="127" t="e">
        <f t="shared" si="10"/>
        <v>#N/A</v>
      </c>
      <c r="R39" s="136" t="e">
        <f>INDEX('Справочник цен'!K$3:K$88,MATCH('Калькулятор затрат'!$B39,'Справочник цен'!$C$3:$C$86,0))</f>
        <v>#N/A</v>
      </c>
      <c r="S39" s="73" t="e">
        <f>INDEX('Справочник цен'!L$3:L$88,MATCH('Калькулятор затрат'!$B39,'Справочник цен'!$C$3:$C$86,0))</f>
        <v>#N/A</v>
      </c>
      <c r="T39" s="73" t="e">
        <f t="shared" si="11"/>
        <v>#N/A</v>
      </c>
      <c r="U39" s="73" t="e">
        <f t="shared" si="12"/>
        <v>#N/A</v>
      </c>
      <c r="V39" s="125" t="e">
        <f t="shared" si="13"/>
        <v>#N/A</v>
      </c>
      <c r="W39" s="138" t="e">
        <f>INDEX('Справочник цен'!M$3:M$88,MATCH('Калькулятор затрат'!$B39,'Справочник цен'!$C$3:$C$86,0))</f>
        <v>#N/A</v>
      </c>
      <c r="X39" s="73" t="e">
        <f>INDEX('Справочник цен'!N$3:N$88,MATCH('Калькулятор затрат'!$B39,'Справочник цен'!$C$3:$C$86,0))</f>
        <v>#N/A</v>
      </c>
      <c r="Y39" s="73" t="e">
        <f t="shared" si="14"/>
        <v>#N/A</v>
      </c>
      <c r="Z39" s="73" t="e">
        <f t="shared" si="15"/>
        <v>#N/A</v>
      </c>
      <c r="AA39" s="127" t="e">
        <f t="shared" si="16"/>
        <v>#N/A</v>
      </c>
      <c r="AB39" s="149"/>
    </row>
    <row r="40" spans="1:28">
      <c r="A40" s="140"/>
      <c r="B40" s="144"/>
      <c r="C40" s="142" t="e">
        <f>INDEX('Справочник цен'!$D$3:$D$88,MATCH('Калькулятор затрат'!B40,'Справочник цен'!$C$3:$C$88,0))</f>
        <v>#N/A</v>
      </c>
      <c r="D40" s="154">
        <f>SUMIF('Справочник цен'!$C$2:$C$88,$B40,'Справочник цен'!E$2:E$88)</f>
        <v>0</v>
      </c>
      <c r="E40" s="73" t="e">
        <f t="shared" si="2"/>
        <v>#DIV/0!</v>
      </c>
      <c r="F40" s="73">
        <f>SUMIF('Справочник цен'!C$3:C$88,B40,'Справочник цен'!F$3:F$88)</f>
        <v>0</v>
      </c>
      <c r="G40" s="73" t="e">
        <f t="shared" si="3"/>
        <v>#DIV/0!</v>
      </c>
      <c r="H40" s="73">
        <f>SUMIF('Справочник цен'!$C$2:$C$88,$B40,'Справочник цен'!G$2:G$88)</f>
        <v>0</v>
      </c>
      <c r="I40" s="73">
        <f t="shared" si="4"/>
        <v>0</v>
      </c>
      <c r="J40" s="154">
        <f t="shared" si="5"/>
        <v>0</v>
      </c>
      <c r="K40" s="154" t="e">
        <f t="shared" si="6"/>
        <v>#DIV/0!</v>
      </c>
      <c r="L40" s="259">
        <f t="shared" si="7"/>
        <v>0</v>
      </c>
      <c r="M40" s="138" t="e">
        <f>INDEX('Справочник цен'!I$3:I$88,MATCH('Калькулятор затрат'!$B40,'Справочник цен'!$C$3:$C$86,0))</f>
        <v>#N/A</v>
      </c>
      <c r="N40" s="73" t="e">
        <f>INDEX('Справочник цен'!J$3:J$88,MATCH('Калькулятор затрат'!$B40,'Справочник цен'!$C$3:$C$86,0))</f>
        <v>#N/A</v>
      </c>
      <c r="O40" s="73" t="e">
        <f t="shared" si="8"/>
        <v>#N/A</v>
      </c>
      <c r="P40" s="73" t="e">
        <f t="shared" si="9"/>
        <v>#N/A</v>
      </c>
      <c r="Q40" s="127" t="e">
        <f t="shared" si="10"/>
        <v>#N/A</v>
      </c>
      <c r="R40" s="136" t="e">
        <f>INDEX('Справочник цен'!K$3:K$88,MATCH('Калькулятор затрат'!$B40,'Справочник цен'!$C$3:$C$86,0))</f>
        <v>#N/A</v>
      </c>
      <c r="S40" s="73" t="e">
        <f>INDEX('Справочник цен'!L$3:L$88,MATCH('Калькулятор затрат'!$B40,'Справочник цен'!$C$3:$C$86,0))</f>
        <v>#N/A</v>
      </c>
      <c r="T40" s="73" t="e">
        <f t="shared" si="11"/>
        <v>#N/A</v>
      </c>
      <c r="U40" s="73" t="e">
        <f t="shared" si="12"/>
        <v>#N/A</v>
      </c>
      <c r="V40" s="125" t="e">
        <f t="shared" si="13"/>
        <v>#N/A</v>
      </c>
      <c r="W40" s="138" t="e">
        <f>INDEX('Справочник цен'!M$3:M$88,MATCH('Калькулятор затрат'!$B40,'Справочник цен'!$C$3:$C$86,0))</f>
        <v>#N/A</v>
      </c>
      <c r="X40" s="73" t="e">
        <f>INDEX('Справочник цен'!N$3:N$88,MATCH('Калькулятор затрат'!$B40,'Справочник цен'!$C$3:$C$86,0))</f>
        <v>#N/A</v>
      </c>
      <c r="Y40" s="73" t="e">
        <f t="shared" si="14"/>
        <v>#N/A</v>
      </c>
      <c r="Z40" s="73" t="e">
        <f t="shared" si="15"/>
        <v>#N/A</v>
      </c>
      <c r="AA40" s="127" t="e">
        <f t="shared" si="16"/>
        <v>#N/A</v>
      </c>
      <c r="AB40" s="149"/>
    </row>
    <row r="41" spans="1:28">
      <c r="A41" s="140"/>
      <c r="B41" s="144"/>
      <c r="C41" s="142" t="e">
        <f>INDEX('Справочник цен'!$D$3:$D$88,MATCH('Калькулятор затрат'!B41,'Справочник цен'!$C$3:$C$88,0))</f>
        <v>#N/A</v>
      </c>
      <c r="D41" s="154">
        <f>SUMIF('Справочник цен'!$C$2:$C$88,$B41,'Справочник цен'!E$2:E$88)</f>
        <v>0</v>
      </c>
      <c r="E41" s="73" t="e">
        <f t="shared" si="2"/>
        <v>#DIV/0!</v>
      </c>
      <c r="F41" s="73">
        <f>SUMIF('Справочник цен'!C$3:C$88,B41,'Справочник цен'!F$3:F$88)</f>
        <v>0</v>
      </c>
      <c r="G41" s="73" t="e">
        <f t="shared" si="3"/>
        <v>#DIV/0!</v>
      </c>
      <c r="H41" s="73">
        <f>SUMIF('Справочник цен'!$C$2:$C$88,$B41,'Справочник цен'!G$2:G$88)</f>
        <v>0</v>
      </c>
      <c r="I41" s="73">
        <f t="shared" si="4"/>
        <v>0</v>
      </c>
      <c r="J41" s="154">
        <f t="shared" si="5"/>
        <v>0</v>
      </c>
      <c r="K41" s="154" t="e">
        <f t="shared" si="6"/>
        <v>#DIV/0!</v>
      </c>
      <c r="L41" s="259">
        <f t="shared" si="7"/>
        <v>0</v>
      </c>
      <c r="M41" s="138" t="e">
        <f>INDEX('Справочник цен'!I$3:I$88,MATCH('Калькулятор затрат'!$B41,'Справочник цен'!$C$3:$C$86,0))</f>
        <v>#N/A</v>
      </c>
      <c r="N41" s="73" t="e">
        <f>INDEX('Справочник цен'!J$3:J$88,MATCH('Калькулятор затрат'!$B41,'Справочник цен'!$C$3:$C$86,0))</f>
        <v>#N/A</v>
      </c>
      <c r="O41" s="73" t="e">
        <f t="shared" si="8"/>
        <v>#N/A</v>
      </c>
      <c r="P41" s="73" t="e">
        <f t="shared" si="9"/>
        <v>#N/A</v>
      </c>
      <c r="Q41" s="127" t="e">
        <f t="shared" si="10"/>
        <v>#N/A</v>
      </c>
      <c r="R41" s="136" t="e">
        <f>INDEX('Справочник цен'!K$3:K$88,MATCH('Калькулятор затрат'!$B41,'Справочник цен'!$C$3:$C$86,0))</f>
        <v>#N/A</v>
      </c>
      <c r="S41" s="73" t="e">
        <f>INDEX('Справочник цен'!L$3:L$88,MATCH('Калькулятор затрат'!$B41,'Справочник цен'!$C$3:$C$86,0))</f>
        <v>#N/A</v>
      </c>
      <c r="T41" s="73" t="e">
        <f t="shared" si="11"/>
        <v>#N/A</v>
      </c>
      <c r="U41" s="73" t="e">
        <f t="shared" si="12"/>
        <v>#N/A</v>
      </c>
      <c r="V41" s="125" t="e">
        <f t="shared" si="13"/>
        <v>#N/A</v>
      </c>
      <c r="W41" s="138" t="e">
        <f>INDEX('Справочник цен'!M$3:M$88,MATCH('Калькулятор затрат'!$B41,'Справочник цен'!$C$3:$C$86,0))</f>
        <v>#N/A</v>
      </c>
      <c r="X41" s="73" t="e">
        <f>INDEX('Справочник цен'!N$3:N$88,MATCH('Калькулятор затрат'!$B41,'Справочник цен'!$C$3:$C$86,0))</f>
        <v>#N/A</v>
      </c>
      <c r="Y41" s="73" t="e">
        <f t="shared" si="14"/>
        <v>#N/A</v>
      </c>
      <c r="Z41" s="73" t="e">
        <f t="shared" si="15"/>
        <v>#N/A</v>
      </c>
      <c r="AA41" s="127" t="e">
        <f t="shared" si="16"/>
        <v>#N/A</v>
      </c>
      <c r="AB41" s="149"/>
    </row>
    <row r="42" spans="1:28">
      <c r="A42" s="140"/>
      <c r="B42" s="144"/>
      <c r="C42" s="142" t="e">
        <f>INDEX('Справочник цен'!$D$3:$D$88,MATCH('Калькулятор затрат'!B42,'Справочник цен'!$C$3:$C$88,0))</f>
        <v>#N/A</v>
      </c>
      <c r="D42" s="154">
        <f>SUMIF('Справочник цен'!$C$2:$C$88,$B42,'Справочник цен'!E$2:E$88)</f>
        <v>0</v>
      </c>
      <c r="E42" s="73" t="e">
        <f t="shared" si="2"/>
        <v>#DIV/0!</v>
      </c>
      <c r="F42" s="73">
        <f>SUMIF('Справочник цен'!C$3:C$88,B42,'Справочник цен'!F$3:F$88)</f>
        <v>0</v>
      </c>
      <c r="G42" s="73" t="e">
        <f t="shared" si="3"/>
        <v>#DIV/0!</v>
      </c>
      <c r="H42" s="73">
        <f>SUMIF('Справочник цен'!$C$2:$C$88,$B42,'Справочник цен'!G$2:G$88)</f>
        <v>0</v>
      </c>
      <c r="I42" s="73">
        <f t="shared" si="4"/>
        <v>0</v>
      </c>
      <c r="J42" s="154">
        <f t="shared" si="5"/>
        <v>0</v>
      </c>
      <c r="K42" s="154" t="e">
        <f t="shared" si="6"/>
        <v>#DIV/0!</v>
      </c>
      <c r="L42" s="259">
        <f t="shared" si="7"/>
        <v>0</v>
      </c>
      <c r="M42" s="138" t="e">
        <f>INDEX('Справочник цен'!I$3:I$88,MATCH('Калькулятор затрат'!$B42,'Справочник цен'!$C$3:$C$86,0))</f>
        <v>#N/A</v>
      </c>
      <c r="N42" s="73" t="e">
        <f>INDEX('Справочник цен'!J$3:J$88,MATCH('Калькулятор затрат'!$B42,'Справочник цен'!$C$3:$C$86,0))</f>
        <v>#N/A</v>
      </c>
      <c r="O42" s="73" t="e">
        <f t="shared" si="8"/>
        <v>#N/A</v>
      </c>
      <c r="P42" s="73" t="e">
        <f t="shared" si="9"/>
        <v>#N/A</v>
      </c>
      <c r="Q42" s="127" t="e">
        <f t="shared" si="10"/>
        <v>#N/A</v>
      </c>
      <c r="R42" s="136" t="e">
        <f>INDEX('Справочник цен'!K$3:K$88,MATCH('Калькулятор затрат'!$B42,'Справочник цен'!$C$3:$C$86,0))</f>
        <v>#N/A</v>
      </c>
      <c r="S42" s="73" t="e">
        <f>INDEX('Справочник цен'!L$3:L$88,MATCH('Калькулятор затрат'!$B42,'Справочник цен'!$C$3:$C$86,0))</f>
        <v>#N/A</v>
      </c>
      <c r="T42" s="73" t="e">
        <f t="shared" si="11"/>
        <v>#N/A</v>
      </c>
      <c r="U42" s="73" t="e">
        <f t="shared" si="12"/>
        <v>#N/A</v>
      </c>
      <c r="V42" s="125" t="e">
        <f t="shared" si="13"/>
        <v>#N/A</v>
      </c>
      <c r="W42" s="138" t="e">
        <f>INDEX('Справочник цен'!M$3:M$88,MATCH('Калькулятор затрат'!$B42,'Справочник цен'!$C$3:$C$86,0))</f>
        <v>#N/A</v>
      </c>
      <c r="X42" s="73" t="e">
        <f>INDEX('Справочник цен'!N$3:N$88,MATCH('Калькулятор затрат'!$B42,'Справочник цен'!$C$3:$C$86,0))</f>
        <v>#N/A</v>
      </c>
      <c r="Y42" s="73" t="e">
        <f t="shared" si="14"/>
        <v>#N/A</v>
      </c>
      <c r="Z42" s="73" t="e">
        <f t="shared" si="15"/>
        <v>#N/A</v>
      </c>
      <c r="AA42" s="127" t="e">
        <f t="shared" si="16"/>
        <v>#N/A</v>
      </c>
      <c r="AB42" s="149"/>
    </row>
    <row r="43" spans="1:28">
      <c r="A43" s="140"/>
      <c r="B43" s="144"/>
      <c r="C43" s="142" t="e">
        <f>INDEX('Справочник цен'!$D$3:$D$88,MATCH('Калькулятор затрат'!B43,'Справочник цен'!$C$3:$C$88,0))</f>
        <v>#N/A</v>
      </c>
      <c r="D43" s="154">
        <f>SUMIF('Справочник цен'!$C$2:$C$88,$B43,'Справочник цен'!E$2:E$88)</f>
        <v>0</v>
      </c>
      <c r="E43" s="73" t="e">
        <f t="shared" si="2"/>
        <v>#DIV/0!</v>
      </c>
      <c r="F43" s="73">
        <f>SUMIF('Справочник цен'!C$3:C$88,B43,'Справочник цен'!F$3:F$88)</f>
        <v>0</v>
      </c>
      <c r="G43" s="73" t="e">
        <f t="shared" si="3"/>
        <v>#DIV/0!</v>
      </c>
      <c r="H43" s="73">
        <f>SUMIF('Справочник цен'!$C$2:$C$88,$B43,'Справочник цен'!G$2:G$88)</f>
        <v>0</v>
      </c>
      <c r="I43" s="73">
        <f t="shared" si="4"/>
        <v>0</v>
      </c>
      <c r="J43" s="154">
        <f t="shared" si="5"/>
        <v>0</v>
      </c>
      <c r="K43" s="154" t="e">
        <f t="shared" si="6"/>
        <v>#DIV/0!</v>
      </c>
      <c r="L43" s="259">
        <f t="shared" si="7"/>
        <v>0</v>
      </c>
      <c r="M43" s="138" t="e">
        <f>INDEX('Справочник цен'!I$3:I$88,MATCH('Калькулятор затрат'!$B43,'Справочник цен'!$C$3:$C$86,0))</f>
        <v>#N/A</v>
      </c>
      <c r="N43" s="73" t="e">
        <f>INDEX('Справочник цен'!J$3:J$88,MATCH('Калькулятор затрат'!$B43,'Справочник цен'!$C$3:$C$86,0))</f>
        <v>#N/A</v>
      </c>
      <c r="O43" s="73" t="e">
        <f t="shared" si="8"/>
        <v>#N/A</v>
      </c>
      <c r="P43" s="73" t="e">
        <f t="shared" si="9"/>
        <v>#N/A</v>
      </c>
      <c r="Q43" s="127" t="e">
        <f t="shared" si="10"/>
        <v>#N/A</v>
      </c>
      <c r="R43" s="136" t="e">
        <f>INDEX('Справочник цен'!K$3:K$88,MATCH('Калькулятор затрат'!$B43,'Справочник цен'!$C$3:$C$86,0))</f>
        <v>#N/A</v>
      </c>
      <c r="S43" s="73" t="e">
        <f>INDEX('Справочник цен'!L$3:L$88,MATCH('Калькулятор затрат'!$B43,'Справочник цен'!$C$3:$C$86,0))</f>
        <v>#N/A</v>
      </c>
      <c r="T43" s="73" t="e">
        <f t="shared" si="11"/>
        <v>#N/A</v>
      </c>
      <c r="U43" s="73" t="e">
        <f t="shared" si="12"/>
        <v>#N/A</v>
      </c>
      <c r="V43" s="125" t="e">
        <f t="shared" si="13"/>
        <v>#N/A</v>
      </c>
      <c r="W43" s="138" t="e">
        <f>INDEX('Справочник цен'!M$3:M$88,MATCH('Калькулятор затрат'!$B43,'Справочник цен'!$C$3:$C$86,0))</f>
        <v>#N/A</v>
      </c>
      <c r="X43" s="73" t="e">
        <f>INDEX('Справочник цен'!N$3:N$88,MATCH('Калькулятор затрат'!$B43,'Справочник цен'!$C$3:$C$86,0))</f>
        <v>#N/A</v>
      </c>
      <c r="Y43" s="73" t="e">
        <f t="shared" si="14"/>
        <v>#N/A</v>
      </c>
      <c r="Z43" s="73" t="e">
        <f t="shared" si="15"/>
        <v>#N/A</v>
      </c>
      <c r="AA43" s="127" t="e">
        <f t="shared" si="16"/>
        <v>#N/A</v>
      </c>
      <c r="AB43" s="149"/>
    </row>
    <row r="44" spans="1:28">
      <c r="A44" s="140"/>
      <c r="B44" s="144"/>
      <c r="C44" s="142" t="e">
        <f>INDEX('Справочник цен'!$D$3:$D$88,MATCH('Калькулятор затрат'!B44,'Справочник цен'!$C$3:$C$88,0))</f>
        <v>#N/A</v>
      </c>
      <c r="D44" s="154">
        <f>SUMIF('Справочник цен'!$C$2:$C$88,$B44,'Справочник цен'!E$2:E$88)</f>
        <v>0</v>
      </c>
      <c r="E44" s="73" t="e">
        <f t="shared" si="2"/>
        <v>#DIV/0!</v>
      </c>
      <c r="F44" s="73">
        <f>SUMIF('Справочник цен'!C$3:C$88,B44,'Справочник цен'!F$3:F$88)</f>
        <v>0</v>
      </c>
      <c r="G44" s="73" t="e">
        <f t="shared" si="3"/>
        <v>#DIV/0!</v>
      </c>
      <c r="H44" s="73">
        <f>SUMIF('Справочник цен'!$C$2:$C$88,$B44,'Справочник цен'!G$2:G$88)</f>
        <v>0</v>
      </c>
      <c r="I44" s="73">
        <f t="shared" si="4"/>
        <v>0</v>
      </c>
      <c r="J44" s="154">
        <f t="shared" si="5"/>
        <v>0</v>
      </c>
      <c r="K44" s="154" t="e">
        <f t="shared" si="6"/>
        <v>#DIV/0!</v>
      </c>
      <c r="L44" s="259">
        <f t="shared" si="7"/>
        <v>0</v>
      </c>
      <c r="M44" s="138" t="e">
        <f>INDEX('Справочник цен'!I$3:I$88,MATCH('Калькулятор затрат'!$B44,'Справочник цен'!$C$3:$C$86,0))</f>
        <v>#N/A</v>
      </c>
      <c r="N44" s="73" t="e">
        <f>INDEX('Справочник цен'!J$3:J$88,MATCH('Калькулятор затрат'!$B44,'Справочник цен'!$C$3:$C$86,0))</f>
        <v>#N/A</v>
      </c>
      <c r="O44" s="73" t="e">
        <f t="shared" si="8"/>
        <v>#N/A</v>
      </c>
      <c r="P44" s="73" t="e">
        <f t="shared" si="9"/>
        <v>#N/A</v>
      </c>
      <c r="Q44" s="127" t="e">
        <f t="shared" si="10"/>
        <v>#N/A</v>
      </c>
      <c r="R44" s="136" t="e">
        <f>INDEX('Справочник цен'!K$3:K$88,MATCH('Калькулятор затрат'!$B44,'Справочник цен'!$C$3:$C$86,0))</f>
        <v>#N/A</v>
      </c>
      <c r="S44" s="73" t="e">
        <f>INDEX('Справочник цен'!L$3:L$88,MATCH('Калькулятор затрат'!$B44,'Справочник цен'!$C$3:$C$86,0))</f>
        <v>#N/A</v>
      </c>
      <c r="T44" s="73" t="e">
        <f t="shared" si="11"/>
        <v>#N/A</v>
      </c>
      <c r="U44" s="73" t="e">
        <f t="shared" si="12"/>
        <v>#N/A</v>
      </c>
      <c r="V44" s="125" t="e">
        <f t="shared" si="13"/>
        <v>#N/A</v>
      </c>
      <c r="W44" s="138" t="e">
        <f>INDEX('Справочник цен'!M$3:M$88,MATCH('Калькулятор затрат'!$B44,'Справочник цен'!$C$3:$C$86,0))</f>
        <v>#N/A</v>
      </c>
      <c r="X44" s="73" t="e">
        <f>INDEX('Справочник цен'!N$3:N$88,MATCH('Калькулятор затрат'!$B44,'Справочник цен'!$C$3:$C$86,0))</f>
        <v>#N/A</v>
      </c>
      <c r="Y44" s="73" t="e">
        <f t="shared" si="14"/>
        <v>#N/A</v>
      </c>
      <c r="Z44" s="73" t="e">
        <f t="shared" si="15"/>
        <v>#N/A</v>
      </c>
      <c r="AA44" s="127" t="e">
        <f t="shared" si="16"/>
        <v>#N/A</v>
      </c>
      <c r="AB44" s="149"/>
    </row>
    <row r="45" spans="1:28">
      <c r="A45" s="140"/>
      <c r="B45" s="144"/>
      <c r="C45" s="142" t="e">
        <f>INDEX('Справочник цен'!$D$3:$D$88,MATCH('Калькулятор затрат'!B45,'Справочник цен'!$C$3:$C$88,0))</f>
        <v>#N/A</v>
      </c>
      <c r="D45" s="154">
        <f>SUMIF('Справочник цен'!$C$2:$C$88,$B45,'Справочник цен'!E$2:E$88)</f>
        <v>0</v>
      </c>
      <c r="E45" s="73" t="e">
        <f t="shared" si="2"/>
        <v>#DIV/0!</v>
      </c>
      <c r="F45" s="73">
        <f>SUMIF('Справочник цен'!C$3:C$88,B45,'Справочник цен'!F$3:F$88)</f>
        <v>0</v>
      </c>
      <c r="G45" s="73" t="e">
        <f t="shared" si="3"/>
        <v>#DIV/0!</v>
      </c>
      <c r="H45" s="73">
        <f>SUMIF('Справочник цен'!$C$2:$C$88,$B45,'Справочник цен'!G$2:G$88)</f>
        <v>0</v>
      </c>
      <c r="I45" s="73">
        <f t="shared" si="4"/>
        <v>0</v>
      </c>
      <c r="J45" s="154">
        <f t="shared" si="5"/>
        <v>0</v>
      </c>
      <c r="K45" s="154" t="e">
        <f t="shared" si="6"/>
        <v>#DIV/0!</v>
      </c>
      <c r="L45" s="259">
        <f t="shared" si="7"/>
        <v>0</v>
      </c>
      <c r="M45" s="138" t="e">
        <f>INDEX('Справочник цен'!I$3:I$88,MATCH('Калькулятор затрат'!$B45,'Справочник цен'!$C$3:$C$86,0))</f>
        <v>#N/A</v>
      </c>
      <c r="N45" s="73" t="e">
        <f>INDEX('Справочник цен'!J$3:J$88,MATCH('Калькулятор затрат'!$B45,'Справочник цен'!$C$3:$C$86,0))</f>
        <v>#N/A</v>
      </c>
      <c r="O45" s="73" t="e">
        <f t="shared" si="8"/>
        <v>#N/A</v>
      </c>
      <c r="P45" s="73" t="e">
        <f t="shared" si="9"/>
        <v>#N/A</v>
      </c>
      <c r="Q45" s="127" t="e">
        <f t="shared" si="10"/>
        <v>#N/A</v>
      </c>
      <c r="R45" s="136" t="e">
        <f>INDEX('Справочник цен'!K$3:K$88,MATCH('Калькулятор затрат'!$B45,'Справочник цен'!$C$3:$C$86,0))</f>
        <v>#N/A</v>
      </c>
      <c r="S45" s="73" t="e">
        <f>INDEX('Справочник цен'!L$3:L$88,MATCH('Калькулятор затрат'!$B45,'Справочник цен'!$C$3:$C$86,0))</f>
        <v>#N/A</v>
      </c>
      <c r="T45" s="73" t="e">
        <f t="shared" si="11"/>
        <v>#N/A</v>
      </c>
      <c r="U45" s="73" t="e">
        <f t="shared" si="12"/>
        <v>#N/A</v>
      </c>
      <c r="V45" s="125" t="e">
        <f t="shared" si="13"/>
        <v>#N/A</v>
      </c>
      <c r="W45" s="138" t="e">
        <f>INDEX('Справочник цен'!M$3:M$88,MATCH('Калькулятор затрат'!$B45,'Справочник цен'!$C$3:$C$86,0))</f>
        <v>#N/A</v>
      </c>
      <c r="X45" s="73" t="e">
        <f>INDEX('Справочник цен'!N$3:N$88,MATCH('Калькулятор затрат'!$B45,'Справочник цен'!$C$3:$C$86,0))</f>
        <v>#N/A</v>
      </c>
      <c r="Y45" s="73" t="e">
        <f t="shared" si="14"/>
        <v>#N/A</v>
      </c>
      <c r="Z45" s="73" t="e">
        <f t="shared" si="15"/>
        <v>#N/A</v>
      </c>
      <c r="AA45" s="127" t="e">
        <f t="shared" si="16"/>
        <v>#N/A</v>
      </c>
      <c r="AB45" s="149"/>
    </row>
    <row r="46" spans="1:28">
      <c r="A46" s="140"/>
      <c r="B46" s="144"/>
      <c r="C46" s="142" t="e">
        <f>INDEX('Справочник цен'!$D$3:$D$88,MATCH('Калькулятор затрат'!B46,'Справочник цен'!$C$3:$C$88,0))</f>
        <v>#N/A</v>
      </c>
      <c r="D46" s="154">
        <f>SUMIF('Справочник цен'!$C$2:$C$88,$B46,'Справочник цен'!E$2:E$88)</f>
        <v>0</v>
      </c>
      <c r="E46" s="73" t="e">
        <f t="shared" si="2"/>
        <v>#DIV/0!</v>
      </c>
      <c r="F46" s="73">
        <f>SUMIF('Справочник цен'!C$3:C$88,B46,'Справочник цен'!F$3:F$88)</f>
        <v>0</v>
      </c>
      <c r="G46" s="73" t="e">
        <f t="shared" si="3"/>
        <v>#DIV/0!</v>
      </c>
      <c r="H46" s="73">
        <f>SUMIF('Справочник цен'!$C$2:$C$88,$B46,'Справочник цен'!G$2:G$88)</f>
        <v>0</v>
      </c>
      <c r="I46" s="73">
        <f t="shared" si="4"/>
        <v>0</v>
      </c>
      <c r="J46" s="154">
        <f t="shared" si="5"/>
        <v>0</v>
      </c>
      <c r="K46" s="154" t="e">
        <f t="shared" si="6"/>
        <v>#DIV/0!</v>
      </c>
      <c r="L46" s="259">
        <f t="shared" si="7"/>
        <v>0</v>
      </c>
      <c r="M46" s="138" t="e">
        <f>INDEX('Справочник цен'!I$3:I$88,MATCH('Калькулятор затрат'!$B46,'Справочник цен'!$C$3:$C$86,0))</f>
        <v>#N/A</v>
      </c>
      <c r="N46" s="73" t="e">
        <f>INDEX('Справочник цен'!J$3:J$88,MATCH('Калькулятор затрат'!$B46,'Справочник цен'!$C$3:$C$86,0))</f>
        <v>#N/A</v>
      </c>
      <c r="O46" s="73" t="e">
        <f t="shared" si="8"/>
        <v>#N/A</v>
      </c>
      <c r="P46" s="73" t="e">
        <f t="shared" si="9"/>
        <v>#N/A</v>
      </c>
      <c r="Q46" s="127" t="e">
        <f t="shared" si="10"/>
        <v>#N/A</v>
      </c>
      <c r="R46" s="136" t="e">
        <f>INDEX('Справочник цен'!K$3:K$88,MATCH('Калькулятор затрат'!$B46,'Справочник цен'!$C$3:$C$86,0))</f>
        <v>#N/A</v>
      </c>
      <c r="S46" s="73" t="e">
        <f>INDEX('Справочник цен'!L$3:L$88,MATCH('Калькулятор затрат'!$B46,'Справочник цен'!$C$3:$C$86,0))</f>
        <v>#N/A</v>
      </c>
      <c r="T46" s="73" t="e">
        <f t="shared" si="11"/>
        <v>#N/A</v>
      </c>
      <c r="U46" s="73" t="e">
        <f t="shared" si="12"/>
        <v>#N/A</v>
      </c>
      <c r="V46" s="125" t="e">
        <f t="shared" si="13"/>
        <v>#N/A</v>
      </c>
      <c r="W46" s="138" t="e">
        <f>INDEX('Справочник цен'!M$3:M$88,MATCH('Калькулятор затрат'!$B46,'Справочник цен'!$C$3:$C$86,0))</f>
        <v>#N/A</v>
      </c>
      <c r="X46" s="73" t="e">
        <f>INDEX('Справочник цен'!N$3:N$88,MATCH('Калькулятор затрат'!$B46,'Справочник цен'!$C$3:$C$86,0))</f>
        <v>#N/A</v>
      </c>
      <c r="Y46" s="73" t="e">
        <f t="shared" si="14"/>
        <v>#N/A</v>
      </c>
      <c r="Z46" s="73" t="e">
        <f t="shared" si="15"/>
        <v>#N/A</v>
      </c>
      <c r="AA46" s="127" t="e">
        <f t="shared" si="16"/>
        <v>#N/A</v>
      </c>
      <c r="AB46" s="149"/>
    </row>
    <row r="47" spans="1:28">
      <c r="A47" s="140"/>
      <c r="B47" s="144"/>
      <c r="C47" s="142" t="e">
        <f>INDEX('Справочник цен'!$D$3:$D$88,MATCH('Калькулятор затрат'!B47,'Справочник цен'!$C$3:$C$88,0))</f>
        <v>#N/A</v>
      </c>
      <c r="D47" s="154">
        <f>SUMIF('Справочник цен'!$C$2:$C$88,$B47,'Справочник цен'!E$2:E$88)</f>
        <v>0</v>
      </c>
      <c r="E47" s="73" t="e">
        <f t="shared" si="2"/>
        <v>#DIV/0!</v>
      </c>
      <c r="F47" s="73">
        <f>SUMIF('Справочник цен'!C$3:C$88,B47,'Справочник цен'!F$3:F$88)</f>
        <v>0</v>
      </c>
      <c r="G47" s="73" t="e">
        <f t="shared" si="3"/>
        <v>#DIV/0!</v>
      </c>
      <c r="H47" s="73">
        <f>SUMIF('Справочник цен'!$C$2:$C$88,$B47,'Справочник цен'!G$2:G$88)</f>
        <v>0</v>
      </c>
      <c r="I47" s="73">
        <f t="shared" si="4"/>
        <v>0</v>
      </c>
      <c r="J47" s="154">
        <f t="shared" si="5"/>
        <v>0</v>
      </c>
      <c r="K47" s="154" t="e">
        <f t="shared" si="6"/>
        <v>#DIV/0!</v>
      </c>
      <c r="L47" s="259">
        <f t="shared" si="7"/>
        <v>0</v>
      </c>
      <c r="M47" s="138" t="e">
        <f>INDEX('Справочник цен'!I$3:I$88,MATCH('Калькулятор затрат'!$B47,'Справочник цен'!$C$3:$C$86,0))</f>
        <v>#N/A</v>
      </c>
      <c r="N47" s="73" t="e">
        <f>INDEX('Справочник цен'!J$3:J$88,MATCH('Калькулятор затрат'!$B47,'Справочник цен'!$C$3:$C$86,0))</f>
        <v>#N/A</v>
      </c>
      <c r="O47" s="73" t="e">
        <f t="shared" si="8"/>
        <v>#N/A</v>
      </c>
      <c r="P47" s="73" t="e">
        <f t="shared" si="9"/>
        <v>#N/A</v>
      </c>
      <c r="Q47" s="127" t="e">
        <f t="shared" si="10"/>
        <v>#N/A</v>
      </c>
      <c r="R47" s="136" t="e">
        <f>INDEX('Справочник цен'!K$3:K$88,MATCH('Калькулятор затрат'!$B47,'Справочник цен'!$C$3:$C$86,0))</f>
        <v>#N/A</v>
      </c>
      <c r="S47" s="73" t="e">
        <f>INDEX('Справочник цен'!L$3:L$88,MATCH('Калькулятор затрат'!$B47,'Справочник цен'!$C$3:$C$86,0))</f>
        <v>#N/A</v>
      </c>
      <c r="T47" s="73" t="e">
        <f t="shared" si="11"/>
        <v>#N/A</v>
      </c>
      <c r="U47" s="73" t="e">
        <f t="shared" si="12"/>
        <v>#N/A</v>
      </c>
      <c r="V47" s="125" t="e">
        <f t="shared" si="13"/>
        <v>#N/A</v>
      </c>
      <c r="W47" s="138" t="e">
        <f>INDEX('Справочник цен'!M$3:M$88,MATCH('Калькулятор затрат'!$B47,'Справочник цен'!$C$3:$C$86,0))</f>
        <v>#N/A</v>
      </c>
      <c r="X47" s="73" t="e">
        <f>INDEX('Справочник цен'!N$3:N$88,MATCH('Калькулятор затрат'!$B47,'Справочник цен'!$C$3:$C$86,0))</f>
        <v>#N/A</v>
      </c>
      <c r="Y47" s="73" t="e">
        <f t="shared" si="14"/>
        <v>#N/A</v>
      </c>
      <c r="Z47" s="73" t="e">
        <f t="shared" si="15"/>
        <v>#N/A</v>
      </c>
      <c r="AA47" s="127" t="e">
        <f t="shared" si="16"/>
        <v>#N/A</v>
      </c>
      <c r="AB47" s="149"/>
    </row>
    <row r="48" spans="1:28">
      <c r="A48" s="140"/>
      <c r="B48" s="144"/>
      <c r="C48" s="142" t="e">
        <f>INDEX('Справочник цен'!$D$3:$D$88,MATCH('Калькулятор затрат'!B48,'Справочник цен'!$C$3:$C$88,0))</f>
        <v>#N/A</v>
      </c>
      <c r="D48" s="154">
        <f>SUMIF('Справочник цен'!$C$2:$C$88,$B48,'Справочник цен'!E$2:E$88)</f>
        <v>0</v>
      </c>
      <c r="E48" s="73" t="e">
        <f t="shared" si="2"/>
        <v>#DIV/0!</v>
      </c>
      <c r="F48" s="73">
        <f>SUMIF('Справочник цен'!C$3:C$88,B48,'Справочник цен'!F$3:F$88)</f>
        <v>0</v>
      </c>
      <c r="G48" s="73" t="e">
        <f t="shared" si="3"/>
        <v>#DIV/0!</v>
      </c>
      <c r="H48" s="73">
        <f>SUMIF('Справочник цен'!$C$2:$C$88,$B48,'Справочник цен'!G$2:G$88)</f>
        <v>0</v>
      </c>
      <c r="I48" s="73">
        <f t="shared" si="4"/>
        <v>0</v>
      </c>
      <c r="J48" s="154">
        <f t="shared" si="5"/>
        <v>0</v>
      </c>
      <c r="K48" s="154" t="e">
        <f t="shared" si="6"/>
        <v>#DIV/0!</v>
      </c>
      <c r="L48" s="259">
        <f t="shared" si="7"/>
        <v>0</v>
      </c>
      <c r="M48" s="138" t="e">
        <f>INDEX('Справочник цен'!I$3:I$88,MATCH('Калькулятор затрат'!$B48,'Справочник цен'!$C$3:$C$86,0))</f>
        <v>#N/A</v>
      </c>
      <c r="N48" s="73" t="e">
        <f>INDEX('Справочник цен'!J$3:J$88,MATCH('Калькулятор затрат'!$B48,'Справочник цен'!$C$3:$C$86,0))</f>
        <v>#N/A</v>
      </c>
      <c r="O48" s="73" t="e">
        <f t="shared" si="8"/>
        <v>#N/A</v>
      </c>
      <c r="P48" s="73" t="e">
        <f t="shared" si="9"/>
        <v>#N/A</v>
      </c>
      <c r="Q48" s="127" t="e">
        <f t="shared" si="10"/>
        <v>#N/A</v>
      </c>
      <c r="R48" s="136" t="e">
        <f>INDEX('Справочник цен'!K$3:K$88,MATCH('Калькулятор затрат'!$B48,'Справочник цен'!$C$3:$C$86,0))</f>
        <v>#N/A</v>
      </c>
      <c r="S48" s="73" t="e">
        <f>INDEX('Справочник цен'!L$3:L$88,MATCH('Калькулятор затрат'!$B48,'Справочник цен'!$C$3:$C$86,0))</f>
        <v>#N/A</v>
      </c>
      <c r="T48" s="73" t="e">
        <f t="shared" si="11"/>
        <v>#N/A</v>
      </c>
      <c r="U48" s="73" t="e">
        <f t="shared" si="12"/>
        <v>#N/A</v>
      </c>
      <c r="V48" s="125" t="e">
        <f t="shared" si="13"/>
        <v>#N/A</v>
      </c>
      <c r="W48" s="138" t="e">
        <f>INDEX('Справочник цен'!M$3:M$88,MATCH('Калькулятор затрат'!$B48,'Справочник цен'!$C$3:$C$86,0))</f>
        <v>#N/A</v>
      </c>
      <c r="X48" s="73" t="e">
        <f>INDEX('Справочник цен'!N$3:N$88,MATCH('Калькулятор затрат'!$B48,'Справочник цен'!$C$3:$C$86,0))</f>
        <v>#N/A</v>
      </c>
      <c r="Y48" s="73" t="e">
        <f t="shared" si="14"/>
        <v>#N/A</v>
      </c>
      <c r="Z48" s="73" t="e">
        <f t="shared" si="15"/>
        <v>#N/A</v>
      </c>
      <c r="AA48" s="127" t="e">
        <f t="shared" si="16"/>
        <v>#N/A</v>
      </c>
      <c r="AB48" s="149"/>
    </row>
    <row r="49" spans="1:28">
      <c r="A49" s="140"/>
      <c r="B49" s="144"/>
      <c r="C49" s="142" t="e">
        <f>INDEX('Справочник цен'!$D$3:$D$88,MATCH('Калькулятор затрат'!B49,'Справочник цен'!$C$3:$C$88,0))</f>
        <v>#N/A</v>
      </c>
      <c r="D49" s="154">
        <f>SUMIF('Справочник цен'!$C$2:$C$88,$B49,'Справочник цен'!E$2:E$88)</f>
        <v>0</v>
      </c>
      <c r="E49" s="73" t="e">
        <f t="shared" si="2"/>
        <v>#DIV/0!</v>
      </c>
      <c r="F49" s="73">
        <f>SUMIF('Справочник цен'!C$3:C$88,B49,'Справочник цен'!F$3:F$88)</f>
        <v>0</v>
      </c>
      <c r="G49" s="73" t="e">
        <f t="shared" si="3"/>
        <v>#DIV/0!</v>
      </c>
      <c r="H49" s="73">
        <f>SUMIF('Справочник цен'!$C$2:$C$88,$B49,'Справочник цен'!G$2:G$88)</f>
        <v>0</v>
      </c>
      <c r="I49" s="73">
        <f t="shared" si="4"/>
        <v>0</v>
      </c>
      <c r="J49" s="154">
        <f t="shared" si="5"/>
        <v>0</v>
      </c>
      <c r="K49" s="154" t="e">
        <f t="shared" si="6"/>
        <v>#DIV/0!</v>
      </c>
      <c r="L49" s="259">
        <f t="shared" si="7"/>
        <v>0</v>
      </c>
      <c r="M49" s="138" t="e">
        <f>INDEX('Справочник цен'!I$3:I$88,MATCH('Калькулятор затрат'!$B49,'Справочник цен'!$C$3:$C$86,0))</f>
        <v>#N/A</v>
      </c>
      <c r="N49" s="73" t="e">
        <f>INDEX('Справочник цен'!J$3:J$88,MATCH('Калькулятор затрат'!$B49,'Справочник цен'!$C$3:$C$86,0))</f>
        <v>#N/A</v>
      </c>
      <c r="O49" s="73" t="e">
        <f t="shared" si="8"/>
        <v>#N/A</v>
      </c>
      <c r="P49" s="73" t="e">
        <f t="shared" si="9"/>
        <v>#N/A</v>
      </c>
      <c r="Q49" s="127" t="e">
        <f t="shared" si="10"/>
        <v>#N/A</v>
      </c>
      <c r="R49" s="136" t="e">
        <f>INDEX('Справочник цен'!K$3:K$88,MATCH('Калькулятор затрат'!$B49,'Справочник цен'!$C$3:$C$86,0))</f>
        <v>#N/A</v>
      </c>
      <c r="S49" s="73" t="e">
        <f>INDEX('Справочник цен'!L$3:L$88,MATCH('Калькулятор затрат'!$B49,'Справочник цен'!$C$3:$C$86,0))</f>
        <v>#N/A</v>
      </c>
      <c r="T49" s="73" t="e">
        <f t="shared" si="11"/>
        <v>#N/A</v>
      </c>
      <c r="U49" s="73" t="e">
        <f t="shared" si="12"/>
        <v>#N/A</v>
      </c>
      <c r="V49" s="125" t="e">
        <f t="shared" si="13"/>
        <v>#N/A</v>
      </c>
      <c r="W49" s="138" t="e">
        <f>INDEX('Справочник цен'!M$3:M$88,MATCH('Калькулятор затрат'!$B49,'Справочник цен'!$C$3:$C$86,0))</f>
        <v>#N/A</v>
      </c>
      <c r="X49" s="73" t="e">
        <f>INDEX('Справочник цен'!N$3:N$88,MATCH('Калькулятор затрат'!$B49,'Справочник цен'!$C$3:$C$86,0))</f>
        <v>#N/A</v>
      </c>
      <c r="Y49" s="73" t="e">
        <f t="shared" si="14"/>
        <v>#N/A</v>
      </c>
      <c r="Z49" s="73" t="e">
        <f t="shared" si="15"/>
        <v>#N/A</v>
      </c>
      <c r="AA49" s="127" t="e">
        <f t="shared" si="16"/>
        <v>#N/A</v>
      </c>
      <c r="AB49" s="149"/>
    </row>
    <row r="50" spans="1:28">
      <c r="A50" s="140"/>
      <c r="B50" s="144"/>
      <c r="C50" s="142" t="e">
        <f>INDEX('Справочник цен'!$D$3:$D$88,MATCH('Калькулятор затрат'!B50,'Справочник цен'!$C$3:$C$88,0))</f>
        <v>#N/A</v>
      </c>
      <c r="D50" s="154">
        <f>SUMIF('Справочник цен'!$C$2:$C$88,$B50,'Справочник цен'!E$2:E$88)</f>
        <v>0</v>
      </c>
      <c r="E50" s="73" t="e">
        <f t="shared" si="2"/>
        <v>#DIV/0!</v>
      </c>
      <c r="F50" s="73">
        <f>SUMIF('Справочник цен'!C$3:C$88,B50,'Справочник цен'!F$3:F$88)</f>
        <v>0</v>
      </c>
      <c r="G50" s="73" t="e">
        <f t="shared" si="3"/>
        <v>#DIV/0!</v>
      </c>
      <c r="H50" s="73">
        <f>SUMIF('Справочник цен'!$C$2:$C$88,$B50,'Справочник цен'!G$2:G$88)</f>
        <v>0</v>
      </c>
      <c r="I50" s="73">
        <f t="shared" si="4"/>
        <v>0</v>
      </c>
      <c r="J50" s="154">
        <f t="shared" si="5"/>
        <v>0</v>
      </c>
      <c r="K50" s="154" t="e">
        <f t="shared" si="6"/>
        <v>#DIV/0!</v>
      </c>
      <c r="L50" s="259">
        <f t="shared" si="7"/>
        <v>0</v>
      </c>
      <c r="M50" s="138" t="e">
        <f>INDEX('Справочник цен'!I$3:I$88,MATCH('Калькулятор затрат'!$B50,'Справочник цен'!$C$3:$C$86,0))</f>
        <v>#N/A</v>
      </c>
      <c r="N50" s="73" t="e">
        <f>INDEX('Справочник цен'!J$3:J$88,MATCH('Калькулятор затрат'!$B50,'Справочник цен'!$C$3:$C$86,0))</f>
        <v>#N/A</v>
      </c>
      <c r="O50" s="73" t="e">
        <f t="shared" si="8"/>
        <v>#N/A</v>
      </c>
      <c r="P50" s="73" t="e">
        <f t="shared" si="9"/>
        <v>#N/A</v>
      </c>
      <c r="Q50" s="127" t="e">
        <f t="shared" si="10"/>
        <v>#N/A</v>
      </c>
      <c r="R50" s="136" t="e">
        <f>INDEX('Справочник цен'!K$3:K$88,MATCH('Калькулятор затрат'!$B50,'Справочник цен'!$C$3:$C$86,0))</f>
        <v>#N/A</v>
      </c>
      <c r="S50" s="73" t="e">
        <f>INDEX('Справочник цен'!L$3:L$88,MATCH('Калькулятор затрат'!$B50,'Справочник цен'!$C$3:$C$86,0))</f>
        <v>#N/A</v>
      </c>
      <c r="T50" s="73" t="e">
        <f t="shared" si="11"/>
        <v>#N/A</v>
      </c>
      <c r="U50" s="73" t="e">
        <f t="shared" si="12"/>
        <v>#N/A</v>
      </c>
      <c r="V50" s="125" t="e">
        <f t="shared" si="13"/>
        <v>#N/A</v>
      </c>
      <c r="W50" s="138" t="e">
        <f>INDEX('Справочник цен'!M$3:M$88,MATCH('Калькулятор затрат'!$B50,'Справочник цен'!$C$3:$C$86,0))</f>
        <v>#N/A</v>
      </c>
      <c r="X50" s="73" t="e">
        <f>INDEX('Справочник цен'!N$3:N$88,MATCH('Калькулятор затрат'!$B50,'Справочник цен'!$C$3:$C$86,0))</f>
        <v>#N/A</v>
      </c>
      <c r="Y50" s="73" t="e">
        <f t="shared" si="14"/>
        <v>#N/A</v>
      </c>
      <c r="Z50" s="73" t="e">
        <f t="shared" si="15"/>
        <v>#N/A</v>
      </c>
      <c r="AA50" s="127" t="e">
        <f t="shared" si="16"/>
        <v>#N/A</v>
      </c>
      <c r="AB50" s="149"/>
    </row>
    <row r="51" spans="1:28">
      <c r="A51" s="140"/>
      <c r="B51" s="144"/>
      <c r="C51" s="142" t="e">
        <f>INDEX('Справочник цен'!$D$3:$D$88,MATCH('Калькулятор затрат'!B51,'Справочник цен'!$C$3:$C$88,0))</f>
        <v>#N/A</v>
      </c>
      <c r="D51" s="154">
        <f>SUMIF('Справочник цен'!$C$2:$C$88,$B51,'Справочник цен'!E$2:E$88)</f>
        <v>0</v>
      </c>
      <c r="E51" s="73" t="e">
        <f t="shared" si="2"/>
        <v>#DIV/0!</v>
      </c>
      <c r="F51" s="73">
        <f>SUMIF('Справочник цен'!C$3:C$88,B51,'Справочник цен'!F$3:F$88)</f>
        <v>0</v>
      </c>
      <c r="G51" s="73" t="e">
        <f t="shared" si="3"/>
        <v>#DIV/0!</v>
      </c>
      <c r="H51" s="73">
        <f>SUMIF('Справочник цен'!$C$2:$C$88,$B51,'Справочник цен'!G$2:G$88)</f>
        <v>0</v>
      </c>
      <c r="I51" s="73">
        <f t="shared" si="4"/>
        <v>0</v>
      </c>
      <c r="J51" s="154">
        <f t="shared" si="5"/>
        <v>0</v>
      </c>
      <c r="K51" s="154" t="e">
        <f t="shared" si="6"/>
        <v>#DIV/0!</v>
      </c>
      <c r="L51" s="259">
        <f t="shared" si="7"/>
        <v>0</v>
      </c>
      <c r="M51" s="138" t="e">
        <f>INDEX('Справочник цен'!I$3:I$88,MATCH('Калькулятор затрат'!$B51,'Справочник цен'!$C$3:$C$86,0))</f>
        <v>#N/A</v>
      </c>
      <c r="N51" s="73" t="e">
        <f>INDEX('Справочник цен'!J$3:J$88,MATCH('Калькулятор затрат'!$B51,'Справочник цен'!$C$3:$C$86,0))</f>
        <v>#N/A</v>
      </c>
      <c r="O51" s="73" t="e">
        <f t="shared" si="8"/>
        <v>#N/A</v>
      </c>
      <c r="P51" s="73" t="e">
        <f t="shared" si="9"/>
        <v>#N/A</v>
      </c>
      <c r="Q51" s="127" t="e">
        <f t="shared" si="10"/>
        <v>#N/A</v>
      </c>
      <c r="R51" s="136" t="e">
        <f>INDEX('Справочник цен'!K$3:K$88,MATCH('Калькулятор затрат'!$B51,'Справочник цен'!$C$3:$C$86,0))</f>
        <v>#N/A</v>
      </c>
      <c r="S51" s="73" t="e">
        <f>INDEX('Справочник цен'!L$3:L$88,MATCH('Калькулятор затрат'!$B51,'Справочник цен'!$C$3:$C$86,0))</f>
        <v>#N/A</v>
      </c>
      <c r="T51" s="73" t="e">
        <f t="shared" si="11"/>
        <v>#N/A</v>
      </c>
      <c r="U51" s="73" t="e">
        <f t="shared" si="12"/>
        <v>#N/A</v>
      </c>
      <c r="V51" s="125" t="e">
        <f t="shared" si="13"/>
        <v>#N/A</v>
      </c>
      <c r="W51" s="138" t="e">
        <f>INDEX('Справочник цен'!M$3:M$88,MATCH('Калькулятор затрат'!$B51,'Справочник цен'!$C$3:$C$86,0))</f>
        <v>#N/A</v>
      </c>
      <c r="X51" s="73" t="e">
        <f>INDEX('Справочник цен'!N$3:N$88,MATCH('Калькулятор затрат'!$B51,'Справочник цен'!$C$3:$C$86,0))</f>
        <v>#N/A</v>
      </c>
      <c r="Y51" s="73" t="e">
        <f t="shared" si="14"/>
        <v>#N/A</v>
      </c>
      <c r="Z51" s="73" t="e">
        <f t="shared" si="15"/>
        <v>#N/A</v>
      </c>
      <c r="AA51" s="127" t="e">
        <f t="shared" si="16"/>
        <v>#N/A</v>
      </c>
      <c r="AB51" s="149"/>
    </row>
    <row r="52" spans="1:28">
      <c r="A52" s="140"/>
      <c r="B52" s="144"/>
      <c r="C52" s="142" t="e">
        <f>INDEX('Справочник цен'!$D$3:$D$88,MATCH('Калькулятор затрат'!B52,'Справочник цен'!$C$3:$C$88,0))</f>
        <v>#N/A</v>
      </c>
      <c r="D52" s="154">
        <f>SUMIF('Справочник цен'!$C$2:$C$88,$B52,'Справочник цен'!E$2:E$88)</f>
        <v>0</v>
      </c>
      <c r="E52" s="73" t="e">
        <f t="shared" si="2"/>
        <v>#DIV/0!</v>
      </c>
      <c r="F52" s="73">
        <f>SUMIF('Справочник цен'!C$3:C$88,B52,'Справочник цен'!F$3:F$88)</f>
        <v>0</v>
      </c>
      <c r="G52" s="73" t="e">
        <f t="shared" si="3"/>
        <v>#DIV/0!</v>
      </c>
      <c r="H52" s="73">
        <f>SUMIF('Справочник цен'!$C$2:$C$88,$B52,'Справочник цен'!G$2:G$88)</f>
        <v>0</v>
      </c>
      <c r="I52" s="73">
        <f t="shared" si="4"/>
        <v>0</v>
      </c>
      <c r="J52" s="154">
        <f t="shared" si="5"/>
        <v>0</v>
      </c>
      <c r="K52" s="154" t="e">
        <f t="shared" si="6"/>
        <v>#DIV/0!</v>
      </c>
      <c r="L52" s="259">
        <f t="shared" si="7"/>
        <v>0</v>
      </c>
      <c r="M52" s="138" t="e">
        <f>INDEX('Справочник цен'!I$3:I$88,MATCH('Калькулятор затрат'!$B52,'Справочник цен'!$C$3:$C$86,0))</f>
        <v>#N/A</v>
      </c>
      <c r="N52" s="73" t="e">
        <f>INDEX('Справочник цен'!J$3:J$88,MATCH('Калькулятор затрат'!$B52,'Справочник цен'!$C$3:$C$86,0))</f>
        <v>#N/A</v>
      </c>
      <c r="O52" s="73" t="e">
        <f t="shared" si="8"/>
        <v>#N/A</v>
      </c>
      <c r="P52" s="73" t="e">
        <f t="shared" si="9"/>
        <v>#N/A</v>
      </c>
      <c r="Q52" s="127" t="e">
        <f t="shared" si="10"/>
        <v>#N/A</v>
      </c>
      <c r="R52" s="136" t="e">
        <f>INDEX('Справочник цен'!K$3:K$88,MATCH('Калькулятор затрат'!$B52,'Справочник цен'!$C$3:$C$86,0))</f>
        <v>#N/A</v>
      </c>
      <c r="S52" s="73" t="e">
        <f>INDEX('Справочник цен'!L$3:L$88,MATCH('Калькулятор затрат'!$B52,'Справочник цен'!$C$3:$C$86,0))</f>
        <v>#N/A</v>
      </c>
      <c r="T52" s="73" t="e">
        <f t="shared" si="11"/>
        <v>#N/A</v>
      </c>
      <c r="U52" s="73" t="e">
        <f t="shared" si="12"/>
        <v>#N/A</v>
      </c>
      <c r="V52" s="125" t="e">
        <f t="shared" si="13"/>
        <v>#N/A</v>
      </c>
      <c r="W52" s="138" t="e">
        <f>INDEX('Справочник цен'!M$3:M$88,MATCH('Калькулятор затрат'!$B52,'Справочник цен'!$C$3:$C$86,0))</f>
        <v>#N/A</v>
      </c>
      <c r="X52" s="73" t="e">
        <f>INDEX('Справочник цен'!N$3:N$88,MATCH('Калькулятор затрат'!$B52,'Справочник цен'!$C$3:$C$86,0))</f>
        <v>#N/A</v>
      </c>
      <c r="Y52" s="73" t="e">
        <f t="shared" si="14"/>
        <v>#N/A</v>
      </c>
      <c r="Z52" s="73" t="e">
        <f t="shared" si="15"/>
        <v>#N/A</v>
      </c>
      <c r="AA52" s="127" t="e">
        <f t="shared" si="16"/>
        <v>#N/A</v>
      </c>
      <c r="AB52" s="149"/>
    </row>
    <row r="53" spans="1:28">
      <c r="A53" s="140"/>
      <c r="B53" s="144"/>
      <c r="C53" s="142" t="e">
        <f>INDEX('Справочник цен'!$D$3:$D$88,MATCH('Калькулятор затрат'!B53,'Справочник цен'!$C$3:$C$88,0))</f>
        <v>#N/A</v>
      </c>
      <c r="D53" s="154">
        <f>SUMIF('Справочник цен'!$C$2:$C$88,$B53,'Справочник цен'!E$2:E$88)</f>
        <v>0</v>
      </c>
      <c r="E53" s="73" t="e">
        <f t="shared" si="2"/>
        <v>#DIV/0!</v>
      </c>
      <c r="F53" s="73">
        <f>SUMIF('Справочник цен'!C$3:C$88,B53,'Справочник цен'!F$3:F$88)</f>
        <v>0</v>
      </c>
      <c r="G53" s="73" t="e">
        <f t="shared" si="3"/>
        <v>#DIV/0!</v>
      </c>
      <c r="H53" s="73">
        <f>SUMIF('Справочник цен'!$C$2:$C$88,$B53,'Справочник цен'!G$2:G$88)</f>
        <v>0</v>
      </c>
      <c r="I53" s="73">
        <f t="shared" si="4"/>
        <v>0</v>
      </c>
      <c r="J53" s="154">
        <f t="shared" si="5"/>
        <v>0</v>
      </c>
      <c r="K53" s="154" t="e">
        <f t="shared" si="6"/>
        <v>#DIV/0!</v>
      </c>
      <c r="L53" s="259">
        <f t="shared" si="7"/>
        <v>0</v>
      </c>
      <c r="M53" s="138" t="e">
        <f>INDEX('Справочник цен'!I$3:I$88,MATCH('Калькулятор затрат'!$B53,'Справочник цен'!$C$3:$C$86,0))</f>
        <v>#N/A</v>
      </c>
      <c r="N53" s="73" t="e">
        <f>INDEX('Справочник цен'!J$3:J$88,MATCH('Калькулятор затрат'!$B53,'Справочник цен'!$C$3:$C$86,0))</f>
        <v>#N/A</v>
      </c>
      <c r="O53" s="73" t="e">
        <f t="shared" si="8"/>
        <v>#N/A</v>
      </c>
      <c r="P53" s="73" t="e">
        <f t="shared" si="9"/>
        <v>#N/A</v>
      </c>
      <c r="Q53" s="127" t="e">
        <f t="shared" si="10"/>
        <v>#N/A</v>
      </c>
      <c r="R53" s="136" t="e">
        <f>INDEX('Справочник цен'!K$3:K$88,MATCH('Калькулятор затрат'!$B53,'Справочник цен'!$C$3:$C$86,0))</f>
        <v>#N/A</v>
      </c>
      <c r="S53" s="73" t="e">
        <f>INDEX('Справочник цен'!L$3:L$88,MATCH('Калькулятор затрат'!$B53,'Справочник цен'!$C$3:$C$86,0))</f>
        <v>#N/A</v>
      </c>
      <c r="T53" s="73" t="e">
        <f t="shared" si="11"/>
        <v>#N/A</v>
      </c>
      <c r="U53" s="73" t="e">
        <f t="shared" si="12"/>
        <v>#N/A</v>
      </c>
      <c r="V53" s="125" t="e">
        <f t="shared" si="13"/>
        <v>#N/A</v>
      </c>
      <c r="W53" s="138" t="e">
        <f>INDEX('Справочник цен'!M$3:M$88,MATCH('Калькулятор затрат'!$B53,'Справочник цен'!$C$3:$C$86,0))</f>
        <v>#N/A</v>
      </c>
      <c r="X53" s="73" t="e">
        <f>INDEX('Справочник цен'!N$3:N$88,MATCH('Калькулятор затрат'!$B53,'Справочник цен'!$C$3:$C$86,0))</f>
        <v>#N/A</v>
      </c>
      <c r="Y53" s="73" t="e">
        <f t="shared" si="14"/>
        <v>#N/A</v>
      </c>
      <c r="Z53" s="73" t="e">
        <f t="shared" si="15"/>
        <v>#N/A</v>
      </c>
      <c r="AA53" s="127" t="e">
        <f t="shared" si="16"/>
        <v>#N/A</v>
      </c>
      <c r="AB53" s="149"/>
    </row>
    <row r="54" spans="1:28">
      <c r="A54" s="140"/>
      <c r="B54" s="144"/>
      <c r="C54" s="142" t="e">
        <f>INDEX('Справочник цен'!$D$3:$D$88,MATCH('Калькулятор затрат'!B54,'Справочник цен'!$C$3:$C$88,0))</f>
        <v>#N/A</v>
      </c>
      <c r="D54" s="154">
        <f>SUMIF('Справочник цен'!$C$2:$C$88,$B54,'Справочник цен'!E$2:E$88)</f>
        <v>0</v>
      </c>
      <c r="E54" s="73" t="e">
        <f t="shared" si="2"/>
        <v>#DIV/0!</v>
      </c>
      <c r="F54" s="73">
        <f>SUMIF('Справочник цен'!C$3:C$88,B54,'Справочник цен'!F$3:F$88)</f>
        <v>0</v>
      </c>
      <c r="G54" s="73" t="e">
        <f t="shared" si="3"/>
        <v>#DIV/0!</v>
      </c>
      <c r="H54" s="73">
        <f>SUMIF('Справочник цен'!$C$2:$C$88,$B54,'Справочник цен'!G$2:G$88)</f>
        <v>0</v>
      </c>
      <c r="I54" s="73">
        <f t="shared" si="4"/>
        <v>0</v>
      </c>
      <c r="J54" s="154">
        <f t="shared" si="5"/>
        <v>0</v>
      </c>
      <c r="K54" s="154" t="e">
        <f t="shared" si="6"/>
        <v>#DIV/0!</v>
      </c>
      <c r="L54" s="259">
        <f t="shared" si="7"/>
        <v>0</v>
      </c>
      <c r="M54" s="138" t="e">
        <f>INDEX('Справочник цен'!I$3:I$88,MATCH('Калькулятор затрат'!$B54,'Справочник цен'!$C$3:$C$86,0))</f>
        <v>#N/A</v>
      </c>
      <c r="N54" s="73" t="e">
        <f>INDEX('Справочник цен'!J$3:J$88,MATCH('Калькулятор затрат'!$B54,'Справочник цен'!$C$3:$C$86,0))</f>
        <v>#N/A</v>
      </c>
      <c r="O54" s="73" t="e">
        <f t="shared" si="8"/>
        <v>#N/A</v>
      </c>
      <c r="P54" s="73" t="e">
        <f t="shared" si="9"/>
        <v>#N/A</v>
      </c>
      <c r="Q54" s="127" t="e">
        <f t="shared" si="10"/>
        <v>#N/A</v>
      </c>
      <c r="R54" s="136" t="e">
        <f>INDEX('Справочник цен'!K$3:K$88,MATCH('Калькулятор затрат'!$B54,'Справочник цен'!$C$3:$C$86,0))</f>
        <v>#N/A</v>
      </c>
      <c r="S54" s="73" t="e">
        <f>INDEX('Справочник цен'!L$3:L$88,MATCH('Калькулятор затрат'!$B54,'Справочник цен'!$C$3:$C$86,0))</f>
        <v>#N/A</v>
      </c>
      <c r="T54" s="73" t="e">
        <f t="shared" si="11"/>
        <v>#N/A</v>
      </c>
      <c r="U54" s="73" t="e">
        <f t="shared" si="12"/>
        <v>#N/A</v>
      </c>
      <c r="V54" s="125" t="e">
        <f t="shared" si="13"/>
        <v>#N/A</v>
      </c>
      <c r="W54" s="138" t="e">
        <f>INDEX('Справочник цен'!M$3:M$88,MATCH('Калькулятор затрат'!$B54,'Справочник цен'!$C$3:$C$86,0))</f>
        <v>#N/A</v>
      </c>
      <c r="X54" s="73" t="e">
        <f>INDEX('Справочник цен'!N$3:N$88,MATCH('Калькулятор затрат'!$B54,'Справочник цен'!$C$3:$C$86,0))</f>
        <v>#N/A</v>
      </c>
      <c r="Y54" s="73" t="e">
        <f t="shared" si="14"/>
        <v>#N/A</v>
      </c>
      <c r="Z54" s="73" t="e">
        <f t="shared" si="15"/>
        <v>#N/A</v>
      </c>
      <c r="AA54" s="127" t="e">
        <f t="shared" si="16"/>
        <v>#N/A</v>
      </c>
      <c r="AB54" s="149"/>
    </row>
    <row r="55" spans="1:28">
      <c r="A55" s="140"/>
      <c r="B55" s="144"/>
      <c r="C55" s="142" t="e">
        <f>INDEX('Справочник цен'!$D$3:$D$88,MATCH('Калькулятор затрат'!B55,'Справочник цен'!$C$3:$C$88,0))</f>
        <v>#N/A</v>
      </c>
      <c r="D55" s="154">
        <f>SUMIF('Справочник цен'!$C$2:$C$88,$B55,'Справочник цен'!E$2:E$88)</f>
        <v>0</v>
      </c>
      <c r="E55" s="73" t="e">
        <f t="shared" si="2"/>
        <v>#DIV/0!</v>
      </c>
      <c r="F55" s="73">
        <f>SUMIF('Справочник цен'!C$3:C$88,B55,'Справочник цен'!F$3:F$88)</f>
        <v>0</v>
      </c>
      <c r="G55" s="73" t="e">
        <f t="shared" si="3"/>
        <v>#DIV/0!</v>
      </c>
      <c r="H55" s="73">
        <f>SUMIF('Справочник цен'!$C$2:$C$88,$B55,'Справочник цен'!G$2:G$88)</f>
        <v>0</v>
      </c>
      <c r="I55" s="73">
        <f t="shared" si="4"/>
        <v>0</v>
      </c>
      <c r="J55" s="154">
        <f t="shared" si="5"/>
        <v>0</v>
      </c>
      <c r="K55" s="154" t="e">
        <f t="shared" si="6"/>
        <v>#DIV/0!</v>
      </c>
      <c r="L55" s="259">
        <f t="shared" si="7"/>
        <v>0</v>
      </c>
      <c r="M55" s="138" t="e">
        <f>INDEX('Справочник цен'!I$3:I$88,MATCH('Калькулятор затрат'!$B55,'Справочник цен'!$C$3:$C$86,0))</f>
        <v>#N/A</v>
      </c>
      <c r="N55" s="73" t="e">
        <f>INDEX('Справочник цен'!J$3:J$88,MATCH('Калькулятор затрат'!$B55,'Справочник цен'!$C$3:$C$86,0))</f>
        <v>#N/A</v>
      </c>
      <c r="O55" s="73" t="e">
        <f t="shared" si="8"/>
        <v>#N/A</v>
      </c>
      <c r="P55" s="73" t="e">
        <f t="shared" si="9"/>
        <v>#N/A</v>
      </c>
      <c r="Q55" s="127" t="e">
        <f t="shared" si="10"/>
        <v>#N/A</v>
      </c>
      <c r="R55" s="136" t="e">
        <f>INDEX('Справочник цен'!K$3:K$88,MATCH('Калькулятор затрат'!$B55,'Справочник цен'!$C$3:$C$86,0))</f>
        <v>#N/A</v>
      </c>
      <c r="S55" s="73" t="e">
        <f>INDEX('Справочник цен'!L$3:L$88,MATCH('Калькулятор затрат'!$B55,'Справочник цен'!$C$3:$C$86,0))</f>
        <v>#N/A</v>
      </c>
      <c r="T55" s="73" t="e">
        <f t="shared" si="11"/>
        <v>#N/A</v>
      </c>
      <c r="U55" s="73" t="e">
        <f t="shared" si="12"/>
        <v>#N/A</v>
      </c>
      <c r="V55" s="125" t="e">
        <f t="shared" si="13"/>
        <v>#N/A</v>
      </c>
      <c r="W55" s="138" t="e">
        <f>INDEX('Справочник цен'!M$3:M$88,MATCH('Калькулятор затрат'!$B55,'Справочник цен'!$C$3:$C$86,0))</f>
        <v>#N/A</v>
      </c>
      <c r="X55" s="73" t="e">
        <f>INDEX('Справочник цен'!N$3:N$88,MATCH('Калькулятор затрат'!$B55,'Справочник цен'!$C$3:$C$86,0))</f>
        <v>#N/A</v>
      </c>
      <c r="Y55" s="73" t="e">
        <f t="shared" si="14"/>
        <v>#N/A</v>
      </c>
      <c r="Z55" s="73" t="e">
        <f t="shared" si="15"/>
        <v>#N/A</v>
      </c>
      <c r="AA55" s="127" t="e">
        <f t="shared" si="16"/>
        <v>#N/A</v>
      </c>
      <c r="AB55" s="149"/>
    </row>
    <row r="56" spans="1:28">
      <c r="A56" s="140"/>
      <c r="B56" s="144"/>
      <c r="C56" s="142" t="e">
        <f>INDEX('Справочник цен'!$D$3:$D$88,MATCH('Калькулятор затрат'!B56,'Справочник цен'!$C$3:$C$88,0))</f>
        <v>#N/A</v>
      </c>
      <c r="D56" s="154">
        <f>SUMIF('Справочник цен'!$C$2:$C$88,$B56,'Справочник цен'!E$2:E$88)</f>
        <v>0</v>
      </c>
      <c r="E56" s="73" t="e">
        <f t="shared" si="2"/>
        <v>#DIV/0!</v>
      </c>
      <c r="F56" s="73">
        <f>SUMIF('Справочник цен'!C$3:C$88,B56,'Справочник цен'!F$3:F$88)</f>
        <v>0</v>
      </c>
      <c r="G56" s="73" t="e">
        <f t="shared" si="3"/>
        <v>#DIV/0!</v>
      </c>
      <c r="H56" s="73">
        <f>SUMIF('Справочник цен'!$C$2:$C$88,$B56,'Справочник цен'!G$2:G$88)</f>
        <v>0</v>
      </c>
      <c r="I56" s="73">
        <f t="shared" si="4"/>
        <v>0</v>
      </c>
      <c r="J56" s="154">
        <f t="shared" si="5"/>
        <v>0</v>
      </c>
      <c r="K56" s="154" t="e">
        <f t="shared" si="6"/>
        <v>#DIV/0!</v>
      </c>
      <c r="L56" s="259">
        <f t="shared" si="7"/>
        <v>0</v>
      </c>
      <c r="M56" s="138" t="e">
        <f>INDEX('Справочник цен'!I$3:I$88,MATCH('Калькулятор затрат'!$B56,'Справочник цен'!$C$3:$C$86,0))</f>
        <v>#N/A</v>
      </c>
      <c r="N56" s="73" t="e">
        <f>INDEX('Справочник цен'!J$3:J$88,MATCH('Калькулятор затрат'!$B56,'Справочник цен'!$C$3:$C$86,0))</f>
        <v>#N/A</v>
      </c>
      <c r="O56" s="73" t="e">
        <f t="shared" si="8"/>
        <v>#N/A</v>
      </c>
      <c r="P56" s="73" t="e">
        <f t="shared" si="9"/>
        <v>#N/A</v>
      </c>
      <c r="Q56" s="127" t="e">
        <f t="shared" si="10"/>
        <v>#N/A</v>
      </c>
      <c r="R56" s="136" t="e">
        <f>INDEX('Справочник цен'!K$3:K$88,MATCH('Калькулятор затрат'!$B56,'Справочник цен'!$C$3:$C$86,0))</f>
        <v>#N/A</v>
      </c>
      <c r="S56" s="73" t="e">
        <f>INDEX('Справочник цен'!L$3:L$88,MATCH('Калькулятор затрат'!$B56,'Справочник цен'!$C$3:$C$86,0))</f>
        <v>#N/A</v>
      </c>
      <c r="T56" s="73" t="e">
        <f t="shared" si="11"/>
        <v>#N/A</v>
      </c>
      <c r="U56" s="73" t="e">
        <f t="shared" si="12"/>
        <v>#N/A</v>
      </c>
      <c r="V56" s="125" t="e">
        <f t="shared" si="13"/>
        <v>#N/A</v>
      </c>
      <c r="W56" s="138" t="e">
        <f>INDEX('Справочник цен'!M$3:M$88,MATCH('Калькулятор затрат'!$B56,'Справочник цен'!$C$3:$C$86,0))</f>
        <v>#N/A</v>
      </c>
      <c r="X56" s="73" t="e">
        <f>INDEX('Справочник цен'!N$3:N$88,MATCH('Калькулятор затрат'!$B56,'Справочник цен'!$C$3:$C$86,0))</f>
        <v>#N/A</v>
      </c>
      <c r="Y56" s="73" t="e">
        <f t="shared" si="14"/>
        <v>#N/A</v>
      </c>
      <c r="Z56" s="73" t="e">
        <f t="shared" si="15"/>
        <v>#N/A</v>
      </c>
      <c r="AA56" s="127" t="e">
        <f t="shared" si="16"/>
        <v>#N/A</v>
      </c>
      <c r="AB56" s="149"/>
    </row>
    <row r="57" spans="1:28">
      <c r="A57" s="140"/>
      <c r="B57" s="144"/>
      <c r="C57" s="142" t="e">
        <f>INDEX('Справочник цен'!$D$3:$D$88,MATCH('Калькулятор затрат'!B57,'Справочник цен'!$C$3:$C$88,0))</f>
        <v>#N/A</v>
      </c>
      <c r="D57" s="154">
        <f>SUMIF('Справочник цен'!$C$2:$C$88,$B57,'Справочник цен'!E$2:E$88)</f>
        <v>0</v>
      </c>
      <c r="E57" s="73" t="e">
        <f t="shared" si="2"/>
        <v>#DIV/0!</v>
      </c>
      <c r="F57" s="73">
        <f>SUMIF('Справочник цен'!C$3:C$88,B57,'Справочник цен'!F$3:F$88)</f>
        <v>0</v>
      </c>
      <c r="G57" s="73" t="e">
        <f t="shared" si="3"/>
        <v>#DIV/0!</v>
      </c>
      <c r="H57" s="73">
        <f>SUMIF('Справочник цен'!$C$2:$C$88,$B57,'Справочник цен'!G$2:G$88)</f>
        <v>0</v>
      </c>
      <c r="I57" s="73">
        <f t="shared" si="4"/>
        <v>0</v>
      </c>
      <c r="J57" s="154">
        <f t="shared" si="5"/>
        <v>0</v>
      </c>
      <c r="K57" s="154" t="e">
        <f t="shared" si="6"/>
        <v>#DIV/0!</v>
      </c>
      <c r="L57" s="259">
        <f t="shared" si="7"/>
        <v>0</v>
      </c>
      <c r="M57" s="138" t="e">
        <f>INDEX('Справочник цен'!I$3:I$88,MATCH('Калькулятор затрат'!$B57,'Справочник цен'!$C$3:$C$86,0))</f>
        <v>#N/A</v>
      </c>
      <c r="N57" s="73" t="e">
        <f>INDEX('Справочник цен'!J$3:J$88,MATCH('Калькулятор затрат'!$B57,'Справочник цен'!$C$3:$C$86,0))</f>
        <v>#N/A</v>
      </c>
      <c r="O57" s="73" t="e">
        <f t="shared" si="8"/>
        <v>#N/A</v>
      </c>
      <c r="P57" s="73" t="e">
        <f t="shared" si="9"/>
        <v>#N/A</v>
      </c>
      <c r="Q57" s="127" t="e">
        <f t="shared" si="10"/>
        <v>#N/A</v>
      </c>
      <c r="R57" s="136" t="e">
        <f>INDEX('Справочник цен'!K$3:K$88,MATCH('Калькулятор затрат'!$B57,'Справочник цен'!$C$3:$C$86,0))</f>
        <v>#N/A</v>
      </c>
      <c r="S57" s="73" t="e">
        <f>INDEX('Справочник цен'!L$3:L$88,MATCH('Калькулятор затрат'!$B57,'Справочник цен'!$C$3:$C$86,0))</f>
        <v>#N/A</v>
      </c>
      <c r="T57" s="73" t="e">
        <f t="shared" si="11"/>
        <v>#N/A</v>
      </c>
      <c r="U57" s="73" t="e">
        <f t="shared" si="12"/>
        <v>#N/A</v>
      </c>
      <c r="V57" s="125" t="e">
        <f t="shared" si="13"/>
        <v>#N/A</v>
      </c>
      <c r="W57" s="138" t="e">
        <f>INDEX('Справочник цен'!M$3:M$88,MATCH('Калькулятор затрат'!$B57,'Справочник цен'!$C$3:$C$86,0))</f>
        <v>#N/A</v>
      </c>
      <c r="X57" s="73" t="e">
        <f>INDEX('Справочник цен'!N$3:N$88,MATCH('Калькулятор затрат'!$B57,'Справочник цен'!$C$3:$C$86,0))</f>
        <v>#N/A</v>
      </c>
      <c r="Y57" s="73" t="e">
        <f t="shared" si="14"/>
        <v>#N/A</v>
      </c>
      <c r="Z57" s="73" t="e">
        <f t="shared" si="15"/>
        <v>#N/A</v>
      </c>
      <c r="AA57" s="127" t="e">
        <f t="shared" si="16"/>
        <v>#N/A</v>
      </c>
      <c r="AB57" s="149"/>
    </row>
    <row r="58" spans="1:28">
      <c r="A58" s="140"/>
      <c r="B58" s="144"/>
      <c r="C58" s="142" t="e">
        <f>INDEX('Справочник цен'!$D$3:$D$88,MATCH('Калькулятор затрат'!B58,'Справочник цен'!$C$3:$C$88,0))</f>
        <v>#N/A</v>
      </c>
      <c r="D58" s="154">
        <f>SUMIF('Справочник цен'!$C$2:$C$88,$B58,'Справочник цен'!E$2:E$88)</f>
        <v>0</v>
      </c>
      <c r="E58" s="73" t="e">
        <f t="shared" si="2"/>
        <v>#DIV/0!</v>
      </c>
      <c r="F58" s="73">
        <f>SUMIF('Справочник цен'!C$3:C$88,B58,'Справочник цен'!F$3:F$88)</f>
        <v>0</v>
      </c>
      <c r="G58" s="73" t="e">
        <f t="shared" si="3"/>
        <v>#DIV/0!</v>
      </c>
      <c r="H58" s="73">
        <f>SUMIF('Справочник цен'!$C$2:$C$88,$B58,'Справочник цен'!G$2:G$88)</f>
        <v>0</v>
      </c>
      <c r="I58" s="73">
        <f t="shared" si="4"/>
        <v>0</v>
      </c>
      <c r="J58" s="154">
        <f t="shared" si="5"/>
        <v>0</v>
      </c>
      <c r="K58" s="154" t="e">
        <f t="shared" si="6"/>
        <v>#DIV/0!</v>
      </c>
      <c r="L58" s="259">
        <f t="shared" si="7"/>
        <v>0</v>
      </c>
      <c r="M58" s="138" t="e">
        <f>INDEX('Справочник цен'!I$3:I$88,MATCH('Калькулятор затрат'!$B58,'Справочник цен'!$C$3:$C$86,0))</f>
        <v>#N/A</v>
      </c>
      <c r="N58" s="73" t="e">
        <f>INDEX('Справочник цен'!J$3:J$88,MATCH('Калькулятор затрат'!$B58,'Справочник цен'!$C$3:$C$86,0))</f>
        <v>#N/A</v>
      </c>
      <c r="O58" s="73" t="e">
        <f t="shared" si="8"/>
        <v>#N/A</v>
      </c>
      <c r="P58" s="73" t="e">
        <f t="shared" si="9"/>
        <v>#N/A</v>
      </c>
      <c r="Q58" s="127" t="e">
        <f t="shared" si="10"/>
        <v>#N/A</v>
      </c>
      <c r="R58" s="136" t="e">
        <f>INDEX('Справочник цен'!K$3:K$88,MATCH('Калькулятор затрат'!$B58,'Справочник цен'!$C$3:$C$86,0))</f>
        <v>#N/A</v>
      </c>
      <c r="S58" s="73" t="e">
        <f>INDEX('Справочник цен'!L$3:L$88,MATCH('Калькулятор затрат'!$B58,'Справочник цен'!$C$3:$C$86,0))</f>
        <v>#N/A</v>
      </c>
      <c r="T58" s="73" t="e">
        <f t="shared" si="11"/>
        <v>#N/A</v>
      </c>
      <c r="U58" s="73" t="e">
        <f t="shared" si="12"/>
        <v>#N/A</v>
      </c>
      <c r="V58" s="125" t="e">
        <f t="shared" si="13"/>
        <v>#N/A</v>
      </c>
      <c r="W58" s="138" t="e">
        <f>INDEX('Справочник цен'!M$3:M$88,MATCH('Калькулятор затрат'!$B58,'Справочник цен'!$C$3:$C$86,0))</f>
        <v>#N/A</v>
      </c>
      <c r="X58" s="73" t="e">
        <f>INDEX('Справочник цен'!N$3:N$88,MATCH('Калькулятор затрат'!$B58,'Справочник цен'!$C$3:$C$86,0))</f>
        <v>#N/A</v>
      </c>
      <c r="Y58" s="73" t="e">
        <f t="shared" si="14"/>
        <v>#N/A</v>
      </c>
      <c r="Z58" s="73" t="e">
        <f t="shared" si="15"/>
        <v>#N/A</v>
      </c>
      <c r="AA58" s="127" t="e">
        <f t="shared" si="16"/>
        <v>#N/A</v>
      </c>
      <c r="AB58" s="149"/>
    </row>
    <row r="59" spans="1:28">
      <c r="A59" s="140"/>
      <c r="B59" s="144"/>
      <c r="C59" s="142" t="e">
        <f>INDEX('Справочник цен'!$D$3:$D$88,MATCH('Калькулятор затрат'!B59,'Справочник цен'!$C$3:$C$88,0))</f>
        <v>#N/A</v>
      </c>
      <c r="D59" s="154">
        <f>SUMIF('Справочник цен'!$C$2:$C$88,$B59,'Справочник цен'!E$2:E$88)</f>
        <v>0</v>
      </c>
      <c r="E59" s="73" t="e">
        <f t="shared" si="2"/>
        <v>#DIV/0!</v>
      </c>
      <c r="F59" s="73">
        <f>SUMIF('Справочник цен'!C$3:C$88,B59,'Справочник цен'!F$3:F$88)</f>
        <v>0</v>
      </c>
      <c r="G59" s="73" t="e">
        <f t="shared" si="3"/>
        <v>#DIV/0!</v>
      </c>
      <c r="H59" s="73">
        <f>SUMIF('Справочник цен'!$C$2:$C$88,$B59,'Справочник цен'!G$2:G$88)</f>
        <v>0</v>
      </c>
      <c r="I59" s="73">
        <f t="shared" si="4"/>
        <v>0</v>
      </c>
      <c r="J59" s="154">
        <f t="shared" si="5"/>
        <v>0</v>
      </c>
      <c r="K59" s="154" t="e">
        <f t="shared" si="6"/>
        <v>#DIV/0!</v>
      </c>
      <c r="L59" s="259">
        <f t="shared" si="7"/>
        <v>0</v>
      </c>
      <c r="M59" s="138" t="e">
        <f>INDEX('Справочник цен'!I$3:I$88,MATCH('Калькулятор затрат'!$B59,'Справочник цен'!$C$3:$C$86,0))</f>
        <v>#N/A</v>
      </c>
      <c r="N59" s="73" t="e">
        <f>INDEX('Справочник цен'!J$3:J$88,MATCH('Калькулятор затрат'!$B59,'Справочник цен'!$C$3:$C$86,0))</f>
        <v>#N/A</v>
      </c>
      <c r="O59" s="73" t="e">
        <f t="shared" si="8"/>
        <v>#N/A</v>
      </c>
      <c r="P59" s="73" t="e">
        <f t="shared" si="9"/>
        <v>#N/A</v>
      </c>
      <c r="Q59" s="127" t="e">
        <f t="shared" si="10"/>
        <v>#N/A</v>
      </c>
      <c r="R59" s="136" t="e">
        <f>INDEX('Справочник цен'!K$3:K$88,MATCH('Калькулятор затрат'!$B59,'Справочник цен'!$C$3:$C$86,0))</f>
        <v>#N/A</v>
      </c>
      <c r="S59" s="73" t="e">
        <f>INDEX('Справочник цен'!L$3:L$88,MATCH('Калькулятор затрат'!$B59,'Справочник цен'!$C$3:$C$86,0))</f>
        <v>#N/A</v>
      </c>
      <c r="T59" s="73" t="e">
        <f t="shared" si="11"/>
        <v>#N/A</v>
      </c>
      <c r="U59" s="73" t="e">
        <f t="shared" si="12"/>
        <v>#N/A</v>
      </c>
      <c r="V59" s="125" t="e">
        <f t="shared" si="13"/>
        <v>#N/A</v>
      </c>
      <c r="W59" s="138" t="e">
        <f>INDEX('Справочник цен'!M$3:M$88,MATCH('Калькулятор затрат'!$B59,'Справочник цен'!$C$3:$C$86,0))</f>
        <v>#N/A</v>
      </c>
      <c r="X59" s="73" t="e">
        <f>INDEX('Справочник цен'!N$3:N$88,MATCH('Калькулятор затрат'!$B59,'Справочник цен'!$C$3:$C$86,0))</f>
        <v>#N/A</v>
      </c>
      <c r="Y59" s="73" t="e">
        <f t="shared" si="14"/>
        <v>#N/A</v>
      </c>
      <c r="Z59" s="73" t="e">
        <f t="shared" si="15"/>
        <v>#N/A</v>
      </c>
      <c r="AA59" s="127" t="e">
        <f t="shared" si="16"/>
        <v>#N/A</v>
      </c>
      <c r="AB59" s="149"/>
    </row>
    <row r="60" spans="1:28">
      <c r="A60" s="140"/>
      <c r="B60" s="144"/>
      <c r="C60" s="142" t="e">
        <f>INDEX('Справочник цен'!$D$3:$D$88,MATCH('Калькулятор затрат'!B60,'Справочник цен'!$C$3:$C$88,0))</f>
        <v>#N/A</v>
      </c>
      <c r="D60" s="154">
        <f>SUMIF('Справочник цен'!$C$2:$C$88,$B60,'Справочник цен'!E$2:E$88)</f>
        <v>0</v>
      </c>
      <c r="E60" s="73" t="e">
        <f t="shared" si="2"/>
        <v>#DIV/0!</v>
      </c>
      <c r="F60" s="73">
        <f>SUMIF('Справочник цен'!C$3:C$88,B60,'Справочник цен'!F$3:F$88)</f>
        <v>0</v>
      </c>
      <c r="G60" s="73" t="e">
        <f t="shared" si="3"/>
        <v>#DIV/0!</v>
      </c>
      <c r="H60" s="73">
        <f>SUMIF('Справочник цен'!$C$2:$C$88,$B60,'Справочник цен'!G$2:G$88)</f>
        <v>0</v>
      </c>
      <c r="I60" s="73">
        <f t="shared" si="4"/>
        <v>0</v>
      </c>
      <c r="J60" s="154">
        <f t="shared" si="5"/>
        <v>0</v>
      </c>
      <c r="K60" s="154" t="e">
        <f t="shared" si="6"/>
        <v>#DIV/0!</v>
      </c>
      <c r="L60" s="259">
        <f t="shared" si="7"/>
        <v>0</v>
      </c>
      <c r="M60" s="138" t="e">
        <f>INDEX('Справочник цен'!I$3:I$88,MATCH('Калькулятор затрат'!$B60,'Справочник цен'!$C$3:$C$86,0))</f>
        <v>#N/A</v>
      </c>
      <c r="N60" s="73" t="e">
        <f>INDEX('Справочник цен'!J$3:J$88,MATCH('Калькулятор затрат'!$B60,'Справочник цен'!$C$3:$C$86,0))</f>
        <v>#N/A</v>
      </c>
      <c r="O60" s="73" t="e">
        <f t="shared" si="8"/>
        <v>#N/A</v>
      </c>
      <c r="P60" s="73" t="e">
        <f t="shared" si="9"/>
        <v>#N/A</v>
      </c>
      <c r="Q60" s="127" t="e">
        <f t="shared" si="10"/>
        <v>#N/A</v>
      </c>
      <c r="R60" s="136" t="e">
        <f>INDEX('Справочник цен'!K$3:K$88,MATCH('Калькулятор затрат'!$B60,'Справочник цен'!$C$3:$C$86,0))</f>
        <v>#N/A</v>
      </c>
      <c r="S60" s="73" t="e">
        <f>INDEX('Справочник цен'!L$3:L$88,MATCH('Калькулятор затрат'!$B60,'Справочник цен'!$C$3:$C$86,0))</f>
        <v>#N/A</v>
      </c>
      <c r="T60" s="73" t="e">
        <f t="shared" si="11"/>
        <v>#N/A</v>
      </c>
      <c r="U60" s="73" t="e">
        <f t="shared" si="12"/>
        <v>#N/A</v>
      </c>
      <c r="V60" s="125" t="e">
        <f t="shared" si="13"/>
        <v>#N/A</v>
      </c>
      <c r="W60" s="138" t="e">
        <f>INDEX('Справочник цен'!M$3:M$88,MATCH('Калькулятор затрат'!$B60,'Справочник цен'!$C$3:$C$86,0))</f>
        <v>#N/A</v>
      </c>
      <c r="X60" s="73" t="e">
        <f>INDEX('Справочник цен'!N$3:N$88,MATCH('Калькулятор затрат'!$B60,'Справочник цен'!$C$3:$C$86,0))</f>
        <v>#N/A</v>
      </c>
      <c r="Y60" s="73" t="e">
        <f t="shared" si="14"/>
        <v>#N/A</v>
      </c>
      <c r="Z60" s="73" t="e">
        <f t="shared" si="15"/>
        <v>#N/A</v>
      </c>
      <c r="AA60" s="127" t="e">
        <f t="shared" si="16"/>
        <v>#N/A</v>
      </c>
      <c r="AB60" s="149"/>
    </row>
    <row r="61" spans="1:28">
      <c r="A61" s="140"/>
      <c r="B61" s="144"/>
      <c r="C61" s="142" t="e">
        <f>INDEX('Справочник цен'!$D$3:$D$88,MATCH('Калькулятор затрат'!B61,'Справочник цен'!$C$3:$C$88,0))</f>
        <v>#N/A</v>
      </c>
      <c r="D61" s="154">
        <f>SUMIF('Справочник цен'!$C$2:$C$88,$B61,'Справочник цен'!E$2:E$88)</f>
        <v>0</v>
      </c>
      <c r="E61" s="73" t="e">
        <f t="shared" si="2"/>
        <v>#DIV/0!</v>
      </c>
      <c r="F61" s="73">
        <f>SUMIF('Справочник цен'!C$3:C$88,B61,'Справочник цен'!F$3:F$88)</f>
        <v>0</v>
      </c>
      <c r="G61" s="73" t="e">
        <f t="shared" si="3"/>
        <v>#DIV/0!</v>
      </c>
      <c r="H61" s="73">
        <f>SUMIF('Справочник цен'!$C$2:$C$88,$B61,'Справочник цен'!G$2:G$88)</f>
        <v>0</v>
      </c>
      <c r="I61" s="73">
        <f t="shared" si="4"/>
        <v>0</v>
      </c>
      <c r="J61" s="154">
        <f t="shared" si="5"/>
        <v>0</v>
      </c>
      <c r="K61" s="154" t="e">
        <f t="shared" si="6"/>
        <v>#DIV/0!</v>
      </c>
      <c r="L61" s="259">
        <f t="shared" si="7"/>
        <v>0</v>
      </c>
      <c r="M61" s="138" t="e">
        <f>INDEX('Справочник цен'!I$3:I$88,MATCH('Калькулятор затрат'!$B61,'Справочник цен'!$C$3:$C$86,0))</f>
        <v>#N/A</v>
      </c>
      <c r="N61" s="73" t="e">
        <f>INDEX('Справочник цен'!J$3:J$88,MATCH('Калькулятор затрат'!$B61,'Справочник цен'!$C$3:$C$86,0))</f>
        <v>#N/A</v>
      </c>
      <c r="O61" s="73" t="e">
        <f t="shared" si="8"/>
        <v>#N/A</v>
      </c>
      <c r="P61" s="73" t="e">
        <f t="shared" si="9"/>
        <v>#N/A</v>
      </c>
      <c r="Q61" s="127" t="e">
        <f t="shared" si="10"/>
        <v>#N/A</v>
      </c>
      <c r="R61" s="136" t="e">
        <f>INDEX('Справочник цен'!K$3:K$88,MATCH('Калькулятор затрат'!$B61,'Справочник цен'!$C$3:$C$86,0))</f>
        <v>#N/A</v>
      </c>
      <c r="S61" s="73" t="e">
        <f>INDEX('Справочник цен'!L$3:L$88,MATCH('Калькулятор затрат'!$B61,'Справочник цен'!$C$3:$C$86,0))</f>
        <v>#N/A</v>
      </c>
      <c r="T61" s="73" t="e">
        <f t="shared" si="11"/>
        <v>#N/A</v>
      </c>
      <c r="U61" s="73" t="e">
        <f t="shared" si="12"/>
        <v>#N/A</v>
      </c>
      <c r="V61" s="125" t="e">
        <f t="shared" si="13"/>
        <v>#N/A</v>
      </c>
      <c r="W61" s="138" t="e">
        <f>INDEX('Справочник цен'!M$3:M$88,MATCH('Калькулятор затрат'!$B61,'Справочник цен'!$C$3:$C$86,0))</f>
        <v>#N/A</v>
      </c>
      <c r="X61" s="73" t="e">
        <f>INDEX('Справочник цен'!N$3:N$88,MATCH('Калькулятор затрат'!$B61,'Справочник цен'!$C$3:$C$86,0))</f>
        <v>#N/A</v>
      </c>
      <c r="Y61" s="73" t="e">
        <f t="shared" si="14"/>
        <v>#N/A</v>
      </c>
      <c r="Z61" s="73" t="e">
        <f t="shared" si="15"/>
        <v>#N/A</v>
      </c>
      <c r="AA61" s="127" t="e">
        <f t="shared" si="16"/>
        <v>#N/A</v>
      </c>
      <c r="AB61" s="149"/>
    </row>
    <row r="62" spans="1:28">
      <c r="A62" s="140"/>
      <c r="B62" s="144"/>
      <c r="C62" s="142" t="e">
        <f>INDEX('Справочник цен'!$D$3:$D$88,MATCH('Калькулятор затрат'!B62,'Справочник цен'!$C$3:$C$88,0))</f>
        <v>#N/A</v>
      </c>
      <c r="D62" s="154">
        <f>SUMIF('Справочник цен'!$C$2:$C$88,$B62,'Справочник цен'!E$2:E$88)</f>
        <v>0</v>
      </c>
      <c r="E62" s="73" t="e">
        <f t="shared" si="2"/>
        <v>#DIV/0!</v>
      </c>
      <c r="F62" s="73">
        <f>SUMIF('Справочник цен'!C$3:C$88,B62,'Справочник цен'!F$3:F$88)</f>
        <v>0</v>
      </c>
      <c r="G62" s="73" t="e">
        <f t="shared" si="3"/>
        <v>#DIV/0!</v>
      </c>
      <c r="H62" s="73">
        <f>SUMIF('Справочник цен'!$C$2:$C$88,$B62,'Справочник цен'!G$2:G$88)</f>
        <v>0</v>
      </c>
      <c r="I62" s="73">
        <f t="shared" si="4"/>
        <v>0</v>
      </c>
      <c r="J62" s="154">
        <f t="shared" si="5"/>
        <v>0</v>
      </c>
      <c r="K62" s="154" t="e">
        <f t="shared" si="6"/>
        <v>#DIV/0!</v>
      </c>
      <c r="L62" s="259">
        <f t="shared" si="7"/>
        <v>0</v>
      </c>
      <c r="M62" s="138" t="e">
        <f>INDEX('Справочник цен'!I$3:I$88,MATCH('Калькулятор затрат'!$B62,'Справочник цен'!$C$3:$C$86,0))</f>
        <v>#N/A</v>
      </c>
      <c r="N62" s="73" t="e">
        <f>INDEX('Справочник цен'!J$3:J$88,MATCH('Калькулятор затрат'!$B62,'Справочник цен'!$C$3:$C$86,0))</f>
        <v>#N/A</v>
      </c>
      <c r="O62" s="73" t="e">
        <f t="shared" si="8"/>
        <v>#N/A</v>
      </c>
      <c r="P62" s="73" t="e">
        <f t="shared" si="9"/>
        <v>#N/A</v>
      </c>
      <c r="Q62" s="127" t="e">
        <f t="shared" si="10"/>
        <v>#N/A</v>
      </c>
      <c r="R62" s="136" t="e">
        <f>INDEX('Справочник цен'!K$3:K$88,MATCH('Калькулятор затрат'!$B62,'Справочник цен'!$C$3:$C$86,0))</f>
        <v>#N/A</v>
      </c>
      <c r="S62" s="73" t="e">
        <f>INDEX('Справочник цен'!L$3:L$88,MATCH('Калькулятор затрат'!$B62,'Справочник цен'!$C$3:$C$86,0))</f>
        <v>#N/A</v>
      </c>
      <c r="T62" s="73" t="e">
        <f t="shared" si="11"/>
        <v>#N/A</v>
      </c>
      <c r="U62" s="73" t="e">
        <f t="shared" si="12"/>
        <v>#N/A</v>
      </c>
      <c r="V62" s="125" t="e">
        <f t="shared" si="13"/>
        <v>#N/A</v>
      </c>
      <c r="W62" s="138" t="e">
        <f>INDEX('Справочник цен'!M$3:M$88,MATCH('Калькулятор затрат'!$B62,'Справочник цен'!$C$3:$C$86,0))</f>
        <v>#N/A</v>
      </c>
      <c r="X62" s="73" t="e">
        <f>INDEX('Справочник цен'!N$3:N$88,MATCH('Калькулятор затрат'!$B62,'Справочник цен'!$C$3:$C$86,0))</f>
        <v>#N/A</v>
      </c>
      <c r="Y62" s="73" t="e">
        <f t="shared" si="14"/>
        <v>#N/A</v>
      </c>
      <c r="Z62" s="73" t="e">
        <f t="shared" si="15"/>
        <v>#N/A</v>
      </c>
      <c r="AA62" s="127" t="e">
        <f t="shared" si="16"/>
        <v>#N/A</v>
      </c>
      <c r="AB62" s="149"/>
    </row>
    <row r="63" spans="1:28">
      <c r="A63" s="140"/>
      <c r="B63" s="144"/>
      <c r="C63" s="142" t="e">
        <f>INDEX('Справочник цен'!$D$3:$D$88,MATCH('Калькулятор затрат'!B63,'Справочник цен'!$C$3:$C$88,0))</f>
        <v>#N/A</v>
      </c>
      <c r="D63" s="154">
        <f>SUMIF('Справочник цен'!$C$2:$C$88,$B63,'Справочник цен'!E$2:E$88)</f>
        <v>0</v>
      </c>
      <c r="E63" s="73" t="e">
        <f t="shared" si="2"/>
        <v>#DIV/0!</v>
      </c>
      <c r="F63" s="73">
        <f>SUMIF('Справочник цен'!C$3:C$88,B63,'Справочник цен'!F$3:F$88)</f>
        <v>0</v>
      </c>
      <c r="G63" s="73" t="e">
        <f t="shared" si="3"/>
        <v>#DIV/0!</v>
      </c>
      <c r="H63" s="73">
        <f>SUMIF('Справочник цен'!$C$2:$C$88,$B63,'Справочник цен'!G$2:G$88)</f>
        <v>0</v>
      </c>
      <c r="I63" s="73">
        <f t="shared" si="4"/>
        <v>0</v>
      </c>
      <c r="J63" s="154">
        <f t="shared" si="5"/>
        <v>0</v>
      </c>
      <c r="K63" s="154" t="e">
        <f t="shared" si="6"/>
        <v>#DIV/0!</v>
      </c>
      <c r="L63" s="259">
        <f t="shared" si="7"/>
        <v>0</v>
      </c>
      <c r="M63" s="138" t="e">
        <f>INDEX('Справочник цен'!I$3:I$88,MATCH('Калькулятор затрат'!$B63,'Справочник цен'!$C$3:$C$86,0))</f>
        <v>#N/A</v>
      </c>
      <c r="N63" s="73" t="e">
        <f>INDEX('Справочник цен'!J$3:J$88,MATCH('Калькулятор затрат'!$B63,'Справочник цен'!$C$3:$C$86,0))</f>
        <v>#N/A</v>
      </c>
      <c r="O63" s="73" t="e">
        <f t="shared" si="8"/>
        <v>#N/A</v>
      </c>
      <c r="P63" s="73" t="e">
        <f t="shared" si="9"/>
        <v>#N/A</v>
      </c>
      <c r="Q63" s="127" t="e">
        <f t="shared" si="10"/>
        <v>#N/A</v>
      </c>
      <c r="R63" s="136" t="e">
        <f>INDEX('Справочник цен'!K$3:K$88,MATCH('Калькулятор затрат'!$B63,'Справочник цен'!$C$3:$C$86,0))</f>
        <v>#N/A</v>
      </c>
      <c r="S63" s="73" t="e">
        <f>INDEX('Справочник цен'!L$3:L$88,MATCH('Калькулятор затрат'!$B63,'Справочник цен'!$C$3:$C$86,0))</f>
        <v>#N/A</v>
      </c>
      <c r="T63" s="73" t="e">
        <f t="shared" si="11"/>
        <v>#N/A</v>
      </c>
      <c r="U63" s="73" t="e">
        <f t="shared" si="12"/>
        <v>#N/A</v>
      </c>
      <c r="V63" s="125" t="e">
        <f t="shared" si="13"/>
        <v>#N/A</v>
      </c>
      <c r="W63" s="138" t="e">
        <f>INDEX('Справочник цен'!M$3:M$88,MATCH('Калькулятор затрат'!$B63,'Справочник цен'!$C$3:$C$86,0))</f>
        <v>#N/A</v>
      </c>
      <c r="X63" s="73" t="e">
        <f>INDEX('Справочник цен'!N$3:N$88,MATCH('Калькулятор затрат'!$B63,'Справочник цен'!$C$3:$C$86,0))</f>
        <v>#N/A</v>
      </c>
      <c r="Y63" s="73" t="e">
        <f t="shared" si="14"/>
        <v>#N/A</v>
      </c>
      <c r="Z63" s="73" t="e">
        <f t="shared" si="15"/>
        <v>#N/A</v>
      </c>
      <c r="AA63" s="127" t="e">
        <f t="shared" si="16"/>
        <v>#N/A</v>
      </c>
      <c r="AB63" s="149"/>
    </row>
    <row r="64" spans="1:28">
      <c r="A64" s="140"/>
      <c r="B64" s="144"/>
      <c r="C64" s="142" t="e">
        <f>INDEX('Справочник цен'!$D$3:$D$88,MATCH('Калькулятор затрат'!B64,'Справочник цен'!$C$3:$C$88,0))</f>
        <v>#N/A</v>
      </c>
      <c r="D64" s="154">
        <f>SUMIF('Справочник цен'!$C$2:$C$88,$B64,'Справочник цен'!E$2:E$88)</f>
        <v>0</v>
      </c>
      <c r="E64" s="73" t="e">
        <f t="shared" si="2"/>
        <v>#DIV/0!</v>
      </c>
      <c r="F64" s="73">
        <f>SUMIF('Справочник цен'!C$3:C$88,B64,'Справочник цен'!F$3:F$88)</f>
        <v>0</v>
      </c>
      <c r="G64" s="73" t="e">
        <f t="shared" si="3"/>
        <v>#DIV/0!</v>
      </c>
      <c r="H64" s="73">
        <f>SUMIF('Справочник цен'!$C$2:$C$88,$B64,'Справочник цен'!G$2:G$88)</f>
        <v>0</v>
      </c>
      <c r="I64" s="73">
        <f t="shared" si="4"/>
        <v>0</v>
      </c>
      <c r="J64" s="154">
        <f t="shared" si="5"/>
        <v>0</v>
      </c>
      <c r="K64" s="154" t="e">
        <f t="shared" si="6"/>
        <v>#DIV/0!</v>
      </c>
      <c r="L64" s="259">
        <f t="shared" si="7"/>
        <v>0</v>
      </c>
      <c r="M64" s="138" t="e">
        <f>INDEX('Справочник цен'!I$3:I$88,MATCH('Калькулятор затрат'!$B64,'Справочник цен'!$C$3:$C$86,0))</f>
        <v>#N/A</v>
      </c>
      <c r="N64" s="73" t="e">
        <f>INDEX('Справочник цен'!J$3:J$88,MATCH('Калькулятор затрат'!$B64,'Справочник цен'!$C$3:$C$86,0))</f>
        <v>#N/A</v>
      </c>
      <c r="O64" s="73" t="e">
        <f t="shared" si="8"/>
        <v>#N/A</v>
      </c>
      <c r="P64" s="73" t="e">
        <f t="shared" si="9"/>
        <v>#N/A</v>
      </c>
      <c r="Q64" s="127" t="e">
        <f t="shared" si="10"/>
        <v>#N/A</v>
      </c>
      <c r="R64" s="136" t="e">
        <f>INDEX('Справочник цен'!K$3:K$88,MATCH('Калькулятор затрат'!$B64,'Справочник цен'!$C$3:$C$86,0))</f>
        <v>#N/A</v>
      </c>
      <c r="S64" s="73" t="e">
        <f>INDEX('Справочник цен'!L$3:L$88,MATCH('Калькулятор затрат'!$B64,'Справочник цен'!$C$3:$C$86,0))</f>
        <v>#N/A</v>
      </c>
      <c r="T64" s="73" t="e">
        <f t="shared" si="11"/>
        <v>#N/A</v>
      </c>
      <c r="U64" s="73" t="e">
        <f t="shared" si="12"/>
        <v>#N/A</v>
      </c>
      <c r="V64" s="125" t="e">
        <f t="shared" si="13"/>
        <v>#N/A</v>
      </c>
      <c r="W64" s="138" t="e">
        <f>INDEX('Справочник цен'!M$3:M$88,MATCH('Калькулятор затрат'!$B64,'Справочник цен'!$C$3:$C$86,0))</f>
        <v>#N/A</v>
      </c>
      <c r="X64" s="73" t="e">
        <f>INDEX('Справочник цен'!N$3:N$88,MATCH('Калькулятор затрат'!$B64,'Справочник цен'!$C$3:$C$86,0))</f>
        <v>#N/A</v>
      </c>
      <c r="Y64" s="73" t="e">
        <f t="shared" si="14"/>
        <v>#N/A</v>
      </c>
      <c r="Z64" s="73" t="e">
        <f t="shared" si="15"/>
        <v>#N/A</v>
      </c>
      <c r="AA64" s="127" t="e">
        <f t="shared" si="16"/>
        <v>#N/A</v>
      </c>
      <c r="AB64" s="149"/>
    </row>
    <row r="65" spans="1:28">
      <c r="A65" s="140"/>
      <c r="B65" s="144"/>
      <c r="C65" s="142" t="e">
        <f>INDEX('Справочник цен'!$D$3:$D$88,MATCH('Калькулятор затрат'!B65,'Справочник цен'!$C$3:$C$88,0))</f>
        <v>#N/A</v>
      </c>
      <c r="D65" s="154">
        <f>SUMIF('Справочник цен'!$C$2:$C$88,$B65,'Справочник цен'!E$2:E$88)</f>
        <v>0</v>
      </c>
      <c r="E65" s="73" t="e">
        <f t="shared" si="2"/>
        <v>#DIV/0!</v>
      </c>
      <c r="F65" s="73">
        <f>SUMIF('Справочник цен'!C$3:C$88,B65,'Справочник цен'!F$3:F$88)</f>
        <v>0</v>
      </c>
      <c r="G65" s="73" t="e">
        <f t="shared" si="3"/>
        <v>#DIV/0!</v>
      </c>
      <c r="H65" s="73">
        <f>SUMIF('Справочник цен'!$C$2:$C$88,$B65,'Справочник цен'!G$2:G$88)</f>
        <v>0</v>
      </c>
      <c r="I65" s="73">
        <f t="shared" si="4"/>
        <v>0</v>
      </c>
      <c r="J65" s="154">
        <f t="shared" si="5"/>
        <v>0</v>
      </c>
      <c r="K65" s="154" t="e">
        <f t="shared" si="6"/>
        <v>#DIV/0!</v>
      </c>
      <c r="L65" s="259">
        <f t="shared" si="7"/>
        <v>0</v>
      </c>
      <c r="M65" s="138" t="e">
        <f>INDEX('Справочник цен'!I$3:I$88,MATCH('Калькулятор затрат'!$B65,'Справочник цен'!$C$3:$C$86,0))</f>
        <v>#N/A</v>
      </c>
      <c r="N65" s="73" t="e">
        <f>INDEX('Справочник цен'!J$3:J$88,MATCH('Калькулятор затрат'!$B65,'Справочник цен'!$C$3:$C$86,0))</f>
        <v>#N/A</v>
      </c>
      <c r="O65" s="73" t="e">
        <f t="shared" si="8"/>
        <v>#N/A</v>
      </c>
      <c r="P65" s="73" t="e">
        <f t="shared" si="9"/>
        <v>#N/A</v>
      </c>
      <c r="Q65" s="127" t="e">
        <f t="shared" si="10"/>
        <v>#N/A</v>
      </c>
      <c r="R65" s="136" t="e">
        <f>INDEX('Справочник цен'!K$3:K$88,MATCH('Калькулятор затрат'!$B65,'Справочник цен'!$C$3:$C$86,0))</f>
        <v>#N/A</v>
      </c>
      <c r="S65" s="73" t="e">
        <f>INDEX('Справочник цен'!L$3:L$88,MATCH('Калькулятор затрат'!$B65,'Справочник цен'!$C$3:$C$86,0))</f>
        <v>#N/A</v>
      </c>
      <c r="T65" s="73" t="e">
        <f t="shared" si="11"/>
        <v>#N/A</v>
      </c>
      <c r="U65" s="73" t="e">
        <f t="shared" si="12"/>
        <v>#N/A</v>
      </c>
      <c r="V65" s="125" t="e">
        <f t="shared" si="13"/>
        <v>#N/A</v>
      </c>
      <c r="W65" s="138" t="e">
        <f>INDEX('Справочник цен'!M$3:M$88,MATCH('Калькулятор затрат'!$B65,'Справочник цен'!$C$3:$C$86,0))</f>
        <v>#N/A</v>
      </c>
      <c r="X65" s="73" t="e">
        <f>INDEX('Справочник цен'!N$3:N$88,MATCH('Калькулятор затрат'!$B65,'Справочник цен'!$C$3:$C$86,0))</f>
        <v>#N/A</v>
      </c>
      <c r="Y65" s="73" t="e">
        <f t="shared" si="14"/>
        <v>#N/A</v>
      </c>
      <c r="Z65" s="73" t="e">
        <f t="shared" si="15"/>
        <v>#N/A</v>
      </c>
      <c r="AA65" s="127" t="e">
        <f t="shared" si="16"/>
        <v>#N/A</v>
      </c>
      <c r="AB65" s="149"/>
    </row>
    <row r="66" spans="1:28">
      <c r="A66" s="140"/>
      <c r="B66" s="144"/>
      <c r="C66" s="142" t="e">
        <f>INDEX('Справочник цен'!$D$3:$D$88,MATCH('Калькулятор затрат'!B66,'Справочник цен'!$C$3:$C$88,0))</f>
        <v>#N/A</v>
      </c>
      <c r="D66" s="154">
        <f>SUMIF('Справочник цен'!$C$2:$C$88,$B66,'Справочник цен'!E$2:E$88)</f>
        <v>0</v>
      </c>
      <c r="E66" s="73" t="e">
        <f t="shared" si="2"/>
        <v>#DIV/0!</v>
      </c>
      <c r="F66" s="73">
        <f>SUMIF('Справочник цен'!C$3:C$88,B66,'Справочник цен'!F$3:F$88)</f>
        <v>0</v>
      </c>
      <c r="G66" s="73" t="e">
        <f t="shared" si="3"/>
        <v>#DIV/0!</v>
      </c>
      <c r="H66" s="73">
        <f>SUMIF('Справочник цен'!$C$2:$C$88,$B66,'Справочник цен'!G$2:G$88)</f>
        <v>0</v>
      </c>
      <c r="I66" s="73">
        <f t="shared" si="4"/>
        <v>0</v>
      </c>
      <c r="J66" s="154">
        <f t="shared" si="5"/>
        <v>0</v>
      </c>
      <c r="K66" s="154" t="e">
        <f t="shared" si="6"/>
        <v>#DIV/0!</v>
      </c>
      <c r="L66" s="259">
        <f t="shared" si="7"/>
        <v>0</v>
      </c>
      <c r="M66" s="138" t="e">
        <f>INDEX('Справочник цен'!I$3:I$88,MATCH('Калькулятор затрат'!$B66,'Справочник цен'!$C$3:$C$86,0))</f>
        <v>#N/A</v>
      </c>
      <c r="N66" s="73" t="e">
        <f>INDEX('Справочник цен'!J$3:J$88,MATCH('Калькулятор затрат'!$B66,'Справочник цен'!$C$3:$C$86,0))</f>
        <v>#N/A</v>
      </c>
      <c r="O66" s="73" t="e">
        <f t="shared" si="8"/>
        <v>#N/A</v>
      </c>
      <c r="P66" s="73" t="e">
        <f t="shared" si="9"/>
        <v>#N/A</v>
      </c>
      <c r="Q66" s="127" t="e">
        <f t="shared" si="10"/>
        <v>#N/A</v>
      </c>
      <c r="R66" s="136" t="e">
        <f>INDEX('Справочник цен'!K$3:K$88,MATCH('Калькулятор затрат'!$B66,'Справочник цен'!$C$3:$C$86,0))</f>
        <v>#N/A</v>
      </c>
      <c r="S66" s="73" t="e">
        <f>INDEX('Справочник цен'!L$3:L$88,MATCH('Калькулятор затрат'!$B66,'Справочник цен'!$C$3:$C$86,0))</f>
        <v>#N/A</v>
      </c>
      <c r="T66" s="73" t="e">
        <f t="shared" si="11"/>
        <v>#N/A</v>
      </c>
      <c r="U66" s="73" t="e">
        <f t="shared" si="12"/>
        <v>#N/A</v>
      </c>
      <c r="V66" s="125" t="e">
        <f t="shared" si="13"/>
        <v>#N/A</v>
      </c>
      <c r="W66" s="138" t="e">
        <f>INDEX('Справочник цен'!M$3:M$88,MATCH('Калькулятор затрат'!$B66,'Справочник цен'!$C$3:$C$86,0))</f>
        <v>#N/A</v>
      </c>
      <c r="X66" s="73" t="e">
        <f>INDEX('Справочник цен'!N$3:N$88,MATCH('Калькулятор затрат'!$B66,'Справочник цен'!$C$3:$C$86,0))</f>
        <v>#N/A</v>
      </c>
      <c r="Y66" s="73" t="e">
        <f t="shared" si="14"/>
        <v>#N/A</v>
      </c>
      <c r="Z66" s="73" t="e">
        <f t="shared" si="15"/>
        <v>#N/A</v>
      </c>
      <c r="AA66" s="127" t="e">
        <f t="shared" si="16"/>
        <v>#N/A</v>
      </c>
      <c r="AB66" s="149"/>
    </row>
    <row r="67" spans="1:28">
      <c r="A67" s="140"/>
      <c r="B67" s="144"/>
      <c r="C67" s="142" t="e">
        <f>INDEX('Справочник цен'!$D$3:$D$88,MATCH('Калькулятор затрат'!B67,'Справочник цен'!$C$3:$C$88,0))</f>
        <v>#N/A</v>
      </c>
      <c r="D67" s="154">
        <f>SUMIF('Справочник цен'!$C$2:$C$88,$B67,'Справочник цен'!E$2:E$88)</f>
        <v>0</v>
      </c>
      <c r="E67" s="73" t="e">
        <f t="shared" si="2"/>
        <v>#DIV/0!</v>
      </c>
      <c r="F67" s="73">
        <f>SUMIF('Справочник цен'!C$3:C$88,B67,'Справочник цен'!F$3:F$88)</f>
        <v>0</v>
      </c>
      <c r="G67" s="73" t="e">
        <f t="shared" si="3"/>
        <v>#DIV/0!</v>
      </c>
      <c r="H67" s="73">
        <f>SUMIF('Справочник цен'!$C$2:$C$88,$B67,'Справочник цен'!G$2:G$88)</f>
        <v>0</v>
      </c>
      <c r="I67" s="73">
        <f t="shared" si="4"/>
        <v>0</v>
      </c>
      <c r="J67" s="154">
        <f t="shared" si="5"/>
        <v>0</v>
      </c>
      <c r="K67" s="154" t="e">
        <f t="shared" si="6"/>
        <v>#DIV/0!</v>
      </c>
      <c r="L67" s="259">
        <f t="shared" si="7"/>
        <v>0</v>
      </c>
      <c r="M67" s="138" t="e">
        <f>INDEX('Справочник цен'!I$3:I$88,MATCH('Калькулятор затрат'!$B67,'Справочник цен'!$C$3:$C$86,0))</f>
        <v>#N/A</v>
      </c>
      <c r="N67" s="73" t="e">
        <f>INDEX('Справочник цен'!J$3:J$88,MATCH('Калькулятор затрат'!$B67,'Справочник цен'!$C$3:$C$86,0))</f>
        <v>#N/A</v>
      </c>
      <c r="O67" s="73" t="e">
        <f t="shared" si="8"/>
        <v>#N/A</v>
      </c>
      <c r="P67" s="73" t="e">
        <f t="shared" si="9"/>
        <v>#N/A</v>
      </c>
      <c r="Q67" s="127" t="e">
        <f t="shared" si="10"/>
        <v>#N/A</v>
      </c>
      <c r="R67" s="136" t="e">
        <f>INDEX('Справочник цен'!K$3:K$88,MATCH('Калькулятор затрат'!$B67,'Справочник цен'!$C$3:$C$86,0))</f>
        <v>#N/A</v>
      </c>
      <c r="S67" s="73" t="e">
        <f>INDEX('Справочник цен'!L$3:L$88,MATCH('Калькулятор затрат'!$B67,'Справочник цен'!$C$3:$C$86,0))</f>
        <v>#N/A</v>
      </c>
      <c r="T67" s="73" t="e">
        <f t="shared" si="11"/>
        <v>#N/A</v>
      </c>
      <c r="U67" s="73" t="e">
        <f t="shared" si="12"/>
        <v>#N/A</v>
      </c>
      <c r="V67" s="125" t="e">
        <f t="shared" si="13"/>
        <v>#N/A</v>
      </c>
      <c r="W67" s="138" t="e">
        <f>INDEX('Справочник цен'!M$3:M$88,MATCH('Калькулятор затрат'!$B67,'Справочник цен'!$C$3:$C$86,0))</f>
        <v>#N/A</v>
      </c>
      <c r="X67" s="73" t="e">
        <f>INDEX('Справочник цен'!N$3:N$88,MATCH('Калькулятор затрат'!$B67,'Справочник цен'!$C$3:$C$86,0))</f>
        <v>#N/A</v>
      </c>
      <c r="Y67" s="73" t="e">
        <f t="shared" si="14"/>
        <v>#N/A</v>
      </c>
      <c r="Z67" s="73" t="e">
        <f t="shared" si="15"/>
        <v>#N/A</v>
      </c>
      <c r="AA67" s="127" t="e">
        <f t="shared" si="16"/>
        <v>#N/A</v>
      </c>
      <c r="AB67" s="149"/>
    </row>
    <row r="68" spans="1:28">
      <c r="A68" s="140"/>
      <c r="B68" s="144"/>
      <c r="C68" s="142" t="e">
        <f>INDEX('Справочник цен'!$D$3:$D$88,MATCH('Калькулятор затрат'!B68,'Справочник цен'!$C$3:$C$88,0))</f>
        <v>#N/A</v>
      </c>
      <c r="D68" s="154">
        <f>SUMIF('Справочник цен'!$C$2:$C$88,$B68,'Справочник цен'!E$2:E$88)</f>
        <v>0</v>
      </c>
      <c r="E68" s="73" t="e">
        <f t="shared" si="2"/>
        <v>#DIV/0!</v>
      </c>
      <c r="F68" s="73">
        <f>SUMIF('Справочник цен'!C$3:C$88,B68,'Справочник цен'!F$3:F$88)</f>
        <v>0</v>
      </c>
      <c r="G68" s="73" t="e">
        <f t="shared" si="3"/>
        <v>#DIV/0!</v>
      </c>
      <c r="H68" s="73">
        <f>SUMIF('Справочник цен'!$C$2:$C$88,$B68,'Справочник цен'!G$2:G$88)</f>
        <v>0</v>
      </c>
      <c r="I68" s="73">
        <f t="shared" si="4"/>
        <v>0</v>
      </c>
      <c r="J68" s="154">
        <f t="shared" si="5"/>
        <v>0</v>
      </c>
      <c r="K68" s="154" t="e">
        <f t="shared" si="6"/>
        <v>#DIV/0!</v>
      </c>
      <c r="L68" s="259">
        <f t="shared" si="7"/>
        <v>0</v>
      </c>
      <c r="M68" s="138" t="e">
        <f>INDEX('Справочник цен'!I$3:I$88,MATCH('Калькулятор затрат'!$B68,'Справочник цен'!$C$3:$C$86,0))</f>
        <v>#N/A</v>
      </c>
      <c r="N68" s="73" t="e">
        <f>INDEX('Справочник цен'!J$3:J$88,MATCH('Калькулятор затрат'!$B68,'Справочник цен'!$C$3:$C$86,0))</f>
        <v>#N/A</v>
      </c>
      <c r="O68" s="73" t="e">
        <f t="shared" si="8"/>
        <v>#N/A</v>
      </c>
      <c r="P68" s="73" t="e">
        <f t="shared" si="9"/>
        <v>#N/A</v>
      </c>
      <c r="Q68" s="127" t="e">
        <f t="shared" si="10"/>
        <v>#N/A</v>
      </c>
      <c r="R68" s="136" t="e">
        <f>INDEX('Справочник цен'!K$3:K$88,MATCH('Калькулятор затрат'!$B68,'Справочник цен'!$C$3:$C$86,0))</f>
        <v>#N/A</v>
      </c>
      <c r="S68" s="73" t="e">
        <f>INDEX('Справочник цен'!L$3:L$88,MATCH('Калькулятор затрат'!$B68,'Справочник цен'!$C$3:$C$86,0))</f>
        <v>#N/A</v>
      </c>
      <c r="T68" s="73" t="e">
        <f t="shared" si="11"/>
        <v>#N/A</v>
      </c>
      <c r="U68" s="73" t="e">
        <f t="shared" si="12"/>
        <v>#N/A</v>
      </c>
      <c r="V68" s="125" t="e">
        <f t="shared" si="13"/>
        <v>#N/A</v>
      </c>
      <c r="W68" s="138" t="e">
        <f>INDEX('Справочник цен'!M$3:M$88,MATCH('Калькулятор затрат'!$B68,'Справочник цен'!$C$3:$C$86,0))</f>
        <v>#N/A</v>
      </c>
      <c r="X68" s="73" t="e">
        <f>INDEX('Справочник цен'!N$3:N$88,MATCH('Калькулятор затрат'!$B68,'Справочник цен'!$C$3:$C$86,0))</f>
        <v>#N/A</v>
      </c>
      <c r="Y68" s="73" t="e">
        <f t="shared" si="14"/>
        <v>#N/A</v>
      </c>
      <c r="Z68" s="73" t="e">
        <f t="shared" si="15"/>
        <v>#N/A</v>
      </c>
      <c r="AA68" s="127" t="e">
        <f t="shared" si="16"/>
        <v>#N/A</v>
      </c>
      <c r="AB68" s="149"/>
    </row>
    <row r="69" spans="1:28">
      <c r="A69" s="140"/>
      <c r="B69" s="144"/>
      <c r="C69" s="142" t="e">
        <f>INDEX('Справочник цен'!$D$3:$D$88,MATCH('Калькулятор затрат'!B69,'Справочник цен'!$C$3:$C$88,0))</f>
        <v>#N/A</v>
      </c>
      <c r="D69" s="154">
        <f>SUMIF('Справочник цен'!$C$2:$C$88,$B69,'Справочник цен'!E$2:E$88)</f>
        <v>0</v>
      </c>
      <c r="E69" s="73" t="e">
        <f t="shared" ref="E69:E86" si="17">F69/D69</f>
        <v>#DIV/0!</v>
      </c>
      <c r="F69" s="73">
        <f>SUMIF('Справочник цен'!C$3:C$88,B69,'Справочник цен'!F$3:F$88)</f>
        <v>0</v>
      </c>
      <c r="G69" s="73" t="e">
        <f t="shared" ref="G69:G86" si="18">H69/D69</f>
        <v>#DIV/0!</v>
      </c>
      <c r="H69" s="73">
        <f>SUMIF('Справочник цен'!$C$2:$C$88,$B69,'Справочник цен'!G$2:G$88)</f>
        <v>0</v>
      </c>
      <c r="I69" s="73">
        <f t="shared" ref="I69:I86" si="19">H69+F69</f>
        <v>0</v>
      </c>
      <c r="J69" s="154">
        <f t="shared" ref="J69:J86" si="20">I69/$J$3</f>
        <v>0</v>
      </c>
      <c r="K69" s="154" t="e">
        <f t="shared" ref="K69:K86" si="21">I69/D69</f>
        <v>#DIV/0!</v>
      </c>
      <c r="L69" s="259">
        <f t="shared" ref="L69:L86" si="22">D69/$L$3</f>
        <v>0</v>
      </c>
      <c r="M69" s="138" t="e">
        <f>INDEX('Справочник цен'!I$3:I$88,MATCH('Калькулятор затрат'!$B69,'Справочник цен'!$C$3:$C$86,0))</f>
        <v>#N/A</v>
      </c>
      <c r="N69" s="73" t="e">
        <f>INDEX('Справочник цен'!J$3:J$88,MATCH('Калькулятор затрат'!$B69,'Справочник цен'!$C$3:$C$86,0))</f>
        <v>#N/A</v>
      </c>
      <c r="O69" s="73" t="e">
        <f t="shared" ref="O69:O86" si="23">N69/$O$3</f>
        <v>#N/A</v>
      </c>
      <c r="P69" s="73" t="e">
        <f t="shared" ref="P69:P86" si="24">N69/M69</f>
        <v>#N/A</v>
      </c>
      <c r="Q69" s="127" t="e">
        <f t="shared" ref="Q69:Q86" si="25">M69/$Q$3</f>
        <v>#N/A</v>
      </c>
      <c r="R69" s="136" t="e">
        <f>INDEX('Справочник цен'!K$3:K$88,MATCH('Калькулятор затрат'!$B69,'Справочник цен'!$C$3:$C$86,0))</f>
        <v>#N/A</v>
      </c>
      <c r="S69" s="73" t="e">
        <f>INDEX('Справочник цен'!L$3:L$88,MATCH('Калькулятор затрат'!$B69,'Справочник цен'!$C$3:$C$86,0))</f>
        <v>#N/A</v>
      </c>
      <c r="T69" s="73" t="e">
        <f t="shared" ref="T69:T86" si="26">S69/$T$3</f>
        <v>#N/A</v>
      </c>
      <c r="U69" s="73" t="e">
        <f t="shared" ref="U69:U86" si="27">S69/R69</f>
        <v>#N/A</v>
      </c>
      <c r="V69" s="125" t="e">
        <f t="shared" ref="V69:V86" si="28">R69/$V$3</f>
        <v>#N/A</v>
      </c>
      <c r="W69" s="138" t="e">
        <f>INDEX('Справочник цен'!M$3:M$88,MATCH('Калькулятор затрат'!$B69,'Справочник цен'!$C$3:$C$86,0))</f>
        <v>#N/A</v>
      </c>
      <c r="X69" s="73" t="e">
        <f>INDEX('Справочник цен'!N$3:N$88,MATCH('Калькулятор затрат'!$B69,'Справочник цен'!$C$3:$C$86,0))</f>
        <v>#N/A</v>
      </c>
      <c r="Y69" s="73" t="e">
        <f t="shared" ref="Y69:Y86" si="29">X69/$Y$3</f>
        <v>#N/A</v>
      </c>
      <c r="Z69" s="73" t="e">
        <f t="shared" ref="Z69:Z86" si="30">X69/W69</f>
        <v>#N/A</v>
      </c>
      <c r="AA69" s="127" t="e">
        <f t="shared" ref="AA69:AA86" si="31">W69/$AA$3</f>
        <v>#N/A</v>
      </c>
      <c r="AB69" s="149"/>
    </row>
    <row r="70" spans="1:28">
      <c r="A70" s="140"/>
      <c r="B70" s="144"/>
      <c r="C70" s="142" t="e">
        <f>INDEX('Справочник цен'!$D$3:$D$88,MATCH('Калькулятор затрат'!B70,'Справочник цен'!$C$3:$C$88,0))</f>
        <v>#N/A</v>
      </c>
      <c r="D70" s="154">
        <f>SUMIF('Справочник цен'!$C$2:$C$88,$B70,'Справочник цен'!E$2:E$88)</f>
        <v>0</v>
      </c>
      <c r="E70" s="73" t="e">
        <f t="shared" si="17"/>
        <v>#DIV/0!</v>
      </c>
      <c r="F70" s="73">
        <f>SUMIF('Справочник цен'!C$3:C$88,B70,'Справочник цен'!F$3:F$88)</f>
        <v>0</v>
      </c>
      <c r="G70" s="73" t="e">
        <f t="shared" si="18"/>
        <v>#DIV/0!</v>
      </c>
      <c r="H70" s="73">
        <f>SUMIF('Справочник цен'!$C$2:$C$88,$B70,'Справочник цен'!G$2:G$88)</f>
        <v>0</v>
      </c>
      <c r="I70" s="73">
        <f t="shared" si="19"/>
        <v>0</v>
      </c>
      <c r="J70" s="154">
        <f t="shared" si="20"/>
        <v>0</v>
      </c>
      <c r="K70" s="154" t="e">
        <f t="shared" si="21"/>
        <v>#DIV/0!</v>
      </c>
      <c r="L70" s="259">
        <f t="shared" si="22"/>
        <v>0</v>
      </c>
      <c r="M70" s="138" t="e">
        <f>INDEX('Справочник цен'!I$3:I$88,MATCH('Калькулятор затрат'!$B70,'Справочник цен'!$C$3:$C$86,0))</f>
        <v>#N/A</v>
      </c>
      <c r="N70" s="73" t="e">
        <f>INDEX('Справочник цен'!J$3:J$88,MATCH('Калькулятор затрат'!$B70,'Справочник цен'!$C$3:$C$86,0))</f>
        <v>#N/A</v>
      </c>
      <c r="O70" s="73" t="e">
        <f t="shared" si="23"/>
        <v>#N/A</v>
      </c>
      <c r="P70" s="73" t="e">
        <f t="shared" si="24"/>
        <v>#N/A</v>
      </c>
      <c r="Q70" s="127" t="e">
        <f t="shared" si="25"/>
        <v>#N/A</v>
      </c>
      <c r="R70" s="136" t="e">
        <f>INDEX('Справочник цен'!K$3:K$88,MATCH('Калькулятор затрат'!$B70,'Справочник цен'!$C$3:$C$86,0))</f>
        <v>#N/A</v>
      </c>
      <c r="S70" s="73" t="e">
        <f>INDEX('Справочник цен'!L$3:L$88,MATCH('Калькулятор затрат'!$B70,'Справочник цен'!$C$3:$C$86,0))</f>
        <v>#N/A</v>
      </c>
      <c r="T70" s="73" t="e">
        <f t="shared" si="26"/>
        <v>#N/A</v>
      </c>
      <c r="U70" s="73" t="e">
        <f t="shared" si="27"/>
        <v>#N/A</v>
      </c>
      <c r="V70" s="125" t="e">
        <f t="shared" si="28"/>
        <v>#N/A</v>
      </c>
      <c r="W70" s="138" t="e">
        <f>INDEX('Справочник цен'!M$3:M$88,MATCH('Калькулятор затрат'!$B70,'Справочник цен'!$C$3:$C$86,0))</f>
        <v>#N/A</v>
      </c>
      <c r="X70" s="73" t="e">
        <f>INDEX('Справочник цен'!N$3:N$88,MATCH('Калькулятор затрат'!$B70,'Справочник цен'!$C$3:$C$86,0))</f>
        <v>#N/A</v>
      </c>
      <c r="Y70" s="73" t="e">
        <f t="shared" si="29"/>
        <v>#N/A</v>
      </c>
      <c r="Z70" s="73" t="e">
        <f t="shared" si="30"/>
        <v>#N/A</v>
      </c>
      <c r="AA70" s="127" t="e">
        <f t="shared" si="31"/>
        <v>#N/A</v>
      </c>
      <c r="AB70" s="149"/>
    </row>
    <row r="71" spans="1:28">
      <c r="A71" s="140"/>
      <c r="B71" s="144"/>
      <c r="C71" s="142" t="e">
        <f>INDEX('Справочник цен'!$D$3:$D$88,MATCH('Калькулятор затрат'!B71,'Справочник цен'!$C$3:$C$88,0))</f>
        <v>#N/A</v>
      </c>
      <c r="D71" s="154">
        <f>SUMIF('Справочник цен'!$C$2:$C$88,$B71,'Справочник цен'!E$2:E$88)</f>
        <v>0</v>
      </c>
      <c r="E71" s="73" t="e">
        <f t="shared" si="17"/>
        <v>#DIV/0!</v>
      </c>
      <c r="F71" s="73">
        <f>SUMIF('Справочник цен'!C$3:C$88,B71,'Справочник цен'!F$3:F$88)</f>
        <v>0</v>
      </c>
      <c r="G71" s="73" t="e">
        <f t="shared" si="18"/>
        <v>#DIV/0!</v>
      </c>
      <c r="H71" s="73">
        <f>SUMIF('Справочник цен'!$C$2:$C$88,$B71,'Справочник цен'!G$2:G$88)</f>
        <v>0</v>
      </c>
      <c r="I71" s="73">
        <f t="shared" si="19"/>
        <v>0</v>
      </c>
      <c r="J71" s="154">
        <f t="shared" si="20"/>
        <v>0</v>
      </c>
      <c r="K71" s="154" t="e">
        <f t="shared" si="21"/>
        <v>#DIV/0!</v>
      </c>
      <c r="L71" s="259">
        <f t="shared" si="22"/>
        <v>0</v>
      </c>
      <c r="M71" s="138" t="e">
        <f>INDEX('Справочник цен'!I$3:I$88,MATCH('Калькулятор затрат'!$B71,'Справочник цен'!$C$3:$C$86,0))</f>
        <v>#N/A</v>
      </c>
      <c r="N71" s="73" t="e">
        <f>INDEX('Справочник цен'!J$3:J$88,MATCH('Калькулятор затрат'!$B71,'Справочник цен'!$C$3:$C$86,0))</f>
        <v>#N/A</v>
      </c>
      <c r="O71" s="73" t="e">
        <f t="shared" si="23"/>
        <v>#N/A</v>
      </c>
      <c r="P71" s="73" t="e">
        <f t="shared" si="24"/>
        <v>#N/A</v>
      </c>
      <c r="Q71" s="127" t="e">
        <f t="shared" si="25"/>
        <v>#N/A</v>
      </c>
      <c r="R71" s="136" t="e">
        <f>INDEX('Справочник цен'!K$3:K$88,MATCH('Калькулятор затрат'!$B71,'Справочник цен'!$C$3:$C$86,0))</f>
        <v>#N/A</v>
      </c>
      <c r="S71" s="73" t="e">
        <f>INDEX('Справочник цен'!L$3:L$88,MATCH('Калькулятор затрат'!$B71,'Справочник цен'!$C$3:$C$86,0))</f>
        <v>#N/A</v>
      </c>
      <c r="T71" s="73" t="e">
        <f t="shared" si="26"/>
        <v>#N/A</v>
      </c>
      <c r="U71" s="73" t="e">
        <f t="shared" si="27"/>
        <v>#N/A</v>
      </c>
      <c r="V71" s="125" t="e">
        <f t="shared" si="28"/>
        <v>#N/A</v>
      </c>
      <c r="W71" s="138" t="e">
        <f>INDEX('Справочник цен'!M$3:M$88,MATCH('Калькулятор затрат'!$B71,'Справочник цен'!$C$3:$C$86,0))</f>
        <v>#N/A</v>
      </c>
      <c r="X71" s="73" t="e">
        <f>INDEX('Справочник цен'!N$3:N$88,MATCH('Калькулятор затрат'!$B71,'Справочник цен'!$C$3:$C$86,0))</f>
        <v>#N/A</v>
      </c>
      <c r="Y71" s="73" t="e">
        <f t="shared" si="29"/>
        <v>#N/A</v>
      </c>
      <c r="Z71" s="73" t="e">
        <f t="shared" si="30"/>
        <v>#N/A</v>
      </c>
      <c r="AA71" s="127" t="e">
        <f t="shared" si="31"/>
        <v>#N/A</v>
      </c>
      <c r="AB71" s="149"/>
    </row>
    <row r="72" spans="1:28">
      <c r="A72" s="140"/>
      <c r="B72" s="144"/>
      <c r="C72" s="142" t="e">
        <f>INDEX('Справочник цен'!$D$3:$D$88,MATCH('Калькулятор затрат'!B72,'Справочник цен'!$C$3:$C$88,0))</f>
        <v>#N/A</v>
      </c>
      <c r="D72" s="154">
        <f>SUMIF('Справочник цен'!$C$2:$C$88,$B72,'Справочник цен'!E$2:E$88)</f>
        <v>0</v>
      </c>
      <c r="E72" s="73" t="e">
        <f t="shared" si="17"/>
        <v>#DIV/0!</v>
      </c>
      <c r="F72" s="73">
        <f>SUMIF('Справочник цен'!C$3:C$88,B72,'Справочник цен'!F$3:F$88)</f>
        <v>0</v>
      </c>
      <c r="G72" s="73" t="e">
        <f t="shared" si="18"/>
        <v>#DIV/0!</v>
      </c>
      <c r="H72" s="73">
        <f>SUMIF('Справочник цен'!$C$2:$C$88,$B72,'Справочник цен'!G$2:G$88)</f>
        <v>0</v>
      </c>
      <c r="I72" s="73">
        <f t="shared" si="19"/>
        <v>0</v>
      </c>
      <c r="J72" s="154">
        <f t="shared" si="20"/>
        <v>0</v>
      </c>
      <c r="K72" s="154" t="e">
        <f t="shared" si="21"/>
        <v>#DIV/0!</v>
      </c>
      <c r="L72" s="259">
        <f t="shared" si="22"/>
        <v>0</v>
      </c>
      <c r="M72" s="138" t="e">
        <f>INDEX('Справочник цен'!I$3:I$88,MATCH('Калькулятор затрат'!$B72,'Справочник цен'!$C$3:$C$86,0))</f>
        <v>#N/A</v>
      </c>
      <c r="N72" s="73" t="e">
        <f>INDEX('Справочник цен'!J$3:J$88,MATCH('Калькулятор затрат'!$B72,'Справочник цен'!$C$3:$C$86,0))</f>
        <v>#N/A</v>
      </c>
      <c r="O72" s="73" t="e">
        <f t="shared" si="23"/>
        <v>#N/A</v>
      </c>
      <c r="P72" s="73" t="e">
        <f t="shared" si="24"/>
        <v>#N/A</v>
      </c>
      <c r="Q72" s="127" t="e">
        <f t="shared" si="25"/>
        <v>#N/A</v>
      </c>
      <c r="R72" s="136" t="e">
        <f>INDEX('Справочник цен'!K$3:K$88,MATCH('Калькулятор затрат'!$B72,'Справочник цен'!$C$3:$C$86,0))</f>
        <v>#N/A</v>
      </c>
      <c r="S72" s="73" t="e">
        <f>INDEX('Справочник цен'!L$3:L$88,MATCH('Калькулятор затрат'!$B72,'Справочник цен'!$C$3:$C$86,0))</f>
        <v>#N/A</v>
      </c>
      <c r="T72" s="73" t="e">
        <f t="shared" si="26"/>
        <v>#N/A</v>
      </c>
      <c r="U72" s="73" t="e">
        <f t="shared" si="27"/>
        <v>#N/A</v>
      </c>
      <c r="V72" s="125" t="e">
        <f t="shared" si="28"/>
        <v>#N/A</v>
      </c>
      <c r="W72" s="138" t="e">
        <f>INDEX('Справочник цен'!M$3:M$88,MATCH('Калькулятор затрат'!$B72,'Справочник цен'!$C$3:$C$86,0))</f>
        <v>#N/A</v>
      </c>
      <c r="X72" s="73" t="e">
        <f>INDEX('Справочник цен'!N$3:N$88,MATCH('Калькулятор затрат'!$B72,'Справочник цен'!$C$3:$C$86,0))</f>
        <v>#N/A</v>
      </c>
      <c r="Y72" s="73" t="e">
        <f t="shared" si="29"/>
        <v>#N/A</v>
      </c>
      <c r="Z72" s="73" t="e">
        <f t="shared" si="30"/>
        <v>#N/A</v>
      </c>
      <c r="AA72" s="127" t="e">
        <f t="shared" si="31"/>
        <v>#N/A</v>
      </c>
      <c r="AB72" s="149"/>
    </row>
    <row r="73" spans="1:28">
      <c r="A73" s="140"/>
      <c r="B73" s="144"/>
      <c r="C73" s="142" t="e">
        <f>INDEX('Справочник цен'!$D$3:$D$88,MATCH('Калькулятор затрат'!B73,'Справочник цен'!$C$3:$C$88,0))</f>
        <v>#N/A</v>
      </c>
      <c r="D73" s="154">
        <f>SUMIF('Справочник цен'!$C$2:$C$88,$B73,'Справочник цен'!E$2:E$88)</f>
        <v>0</v>
      </c>
      <c r="E73" s="73" t="e">
        <f t="shared" si="17"/>
        <v>#DIV/0!</v>
      </c>
      <c r="F73" s="73">
        <f>SUMIF('Справочник цен'!C$3:C$88,B73,'Справочник цен'!F$3:F$88)</f>
        <v>0</v>
      </c>
      <c r="G73" s="73" t="e">
        <f t="shared" si="18"/>
        <v>#DIV/0!</v>
      </c>
      <c r="H73" s="73">
        <f>SUMIF('Справочник цен'!$C$2:$C$88,$B73,'Справочник цен'!G$2:G$88)</f>
        <v>0</v>
      </c>
      <c r="I73" s="73">
        <f t="shared" si="19"/>
        <v>0</v>
      </c>
      <c r="J73" s="154">
        <f t="shared" si="20"/>
        <v>0</v>
      </c>
      <c r="K73" s="154" t="e">
        <f t="shared" si="21"/>
        <v>#DIV/0!</v>
      </c>
      <c r="L73" s="259">
        <f t="shared" si="22"/>
        <v>0</v>
      </c>
      <c r="M73" s="138" t="e">
        <f>INDEX('Справочник цен'!I$3:I$88,MATCH('Калькулятор затрат'!$B73,'Справочник цен'!$C$3:$C$86,0))</f>
        <v>#N/A</v>
      </c>
      <c r="N73" s="73" t="e">
        <f>INDEX('Справочник цен'!J$3:J$88,MATCH('Калькулятор затрат'!$B73,'Справочник цен'!$C$3:$C$86,0))</f>
        <v>#N/A</v>
      </c>
      <c r="O73" s="73" t="e">
        <f t="shared" si="23"/>
        <v>#N/A</v>
      </c>
      <c r="P73" s="73" t="e">
        <f t="shared" si="24"/>
        <v>#N/A</v>
      </c>
      <c r="Q73" s="127" t="e">
        <f t="shared" si="25"/>
        <v>#N/A</v>
      </c>
      <c r="R73" s="136" t="e">
        <f>INDEX('Справочник цен'!K$3:K$88,MATCH('Калькулятор затрат'!$B73,'Справочник цен'!$C$3:$C$86,0))</f>
        <v>#N/A</v>
      </c>
      <c r="S73" s="73" t="e">
        <f>INDEX('Справочник цен'!L$3:L$88,MATCH('Калькулятор затрат'!$B73,'Справочник цен'!$C$3:$C$86,0))</f>
        <v>#N/A</v>
      </c>
      <c r="T73" s="73" t="e">
        <f t="shared" si="26"/>
        <v>#N/A</v>
      </c>
      <c r="U73" s="73" t="e">
        <f t="shared" si="27"/>
        <v>#N/A</v>
      </c>
      <c r="V73" s="125" t="e">
        <f t="shared" si="28"/>
        <v>#N/A</v>
      </c>
      <c r="W73" s="138" t="e">
        <f>INDEX('Справочник цен'!M$3:M$88,MATCH('Калькулятор затрат'!$B73,'Справочник цен'!$C$3:$C$86,0))</f>
        <v>#N/A</v>
      </c>
      <c r="X73" s="73" t="e">
        <f>INDEX('Справочник цен'!N$3:N$88,MATCH('Калькулятор затрат'!$B73,'Справочник цен'!$C$3:$C$86,0))</f>
        <v>#N/A</v>
      </c>
      <c r="Y73" s="73" t="e">
        <f t="shared" si="29"/>
        <v>#N/A</v>
      </c>
      <c r="Z73" s="73" t="e">
        <f t="shared" si="30"/>
        <v>#N/A</v>
      </c>
      <c r="AA73" s="127" t="e">
        <f t="shared" si="31"/>
        <v>#N/A</v>
      </c>
      <c r="AB73" s="149"/>
    </row>
    <row r="74" spans="1:28">
      <c r="A74" s="140"/>
      <c r="B74" s="144"/>
      <c r="C74" s="142" t="e">
        <f>INDEX('Справочник цен'!$D$3:$D$88,MATCH('Калькулятор затрат'!B74,'Справочник цен'!$C$3:$C$88,0))</f>
        <v>#N/A</v>
      </c>
      <c r="D74" s="154">
        <f>SUMIF('Справочник цен'!$C$2:$C$88,$B74,'Справочник цен'!E$2:E$88)</f>
        <v>0</v>
      </c>
      <c r="E74" s="73" t="e">
        <f t="shared" si="17"/>
        <v>#DIV/0!</v>
      </c>
      <c r="F74" s="73">
        <f>SUMIF('Справочник цен'!C$3:C$88,B74,'Справочник цен'!F$3:F$88)</f>
        <v>0</v>
      </c>
      <c r="G74" s="73" t="e">
        <f t="shared" si="18"/>
        <v>#DIV/0!</v>
      </c>
      <c r="H74" s="73">
        <f>SUMIF('Справочник цен'!$C$2:$C$88,$B74,'Справочник цен'!G$2:G$88)</f>
        <v>0</v>
      </c>
      <c r="I74" s="73">
        <f t="shared" si="19"/>
        <v>0</v>
      </c>
      <c r="J74" s="154">
        <f t="shared" si="20"/>
        <v>0</v>
      </c>
      <c r="K74" s="154" t="e">
        <f t="shared" si="21"/>
        <v>#DIV/0!</v>
      </c>
      <c r="L74" s="259">
        <f t="shared" si="22"/>
        <v>0</v>
      </c>
      <c r="M74" s="138" t="e">
        <f>INDEX('Справочник цен'!I$3:I$88,MATCH('Калькулятор затрат'!$B74,'Справочник цен'!$C$3:$C$86,0))</f>
        <v>#N/A</v>
      </c>
      <c r="N74" s="73" t="e">
        <f>INDEX('Справочник цен'!J$3:J$88,MATCH('Калькулятор затрат'!$B74,'Справочник цен'!$C$3:$C$86,0))</f>
        <v>#N/A</v>
      </c>
      <c r="O74" s="73" t="e">
        <f t="shared" si="23"/>
        <v>#N/A</v>
      </c>
      <c r="P74" s="73" t="e">
        <f t="shared" si="24"/>
        <v>#N/A</v>
      </c>
      <c r="Q74" s="127" t="e">
        <f t="shared" si="25"/>
        <v>#N/A</v>
      </c>
      <c r="R74" s="136" t="e">
        <f>INDEX('Справочник цен'!K$3:K$88,MATCH('Калькулятор затрат'!$B74,'Справочник цен'!$C$3:$C$86,0))</f>
        <v>#N/A</v>
      </c>
      <c r="S74" s="73" t="e">
        <f>INDEX('Справочник цен'!L$3:L$88,MATCH('Калькулятор затрат'!$B74,'Справочник цен'!$C$3:$C$86,0))</f>
        <v>#N/A</v>
      </c>
      <c r="T74" s="73" t="e">
        <f t="shared" si="26"/>
        <v>#N/A</v>
      </c>
      <c r="U74" s="73" t="e">
        <f t="shared" si="27"/>
        <v>#N/A</v>
      </c>
      <c r="V74" s="125" t="e">
        <f t="shared" si="28"/>
        <v>#N/A</v>
      </c>
      <c r="W74" s="138" t="e">
        <f>INDEX('Справочник цен'!M$3:M$88,MATCH('Калькулятор затрат'!$B74,'Справочник цен'!$C$3:$C$86,0))</f>
        <v>#N/A</v>
      </c>
      <c r="X74" s="73" t="e">
        <f>INDEX('Справочник цен'!N$3:N$88,MATCH('Калькулятор затрат'!$B74,'Справочник цен'!$C$3:$C$86,0))</f>
        <v>#N/A</v>
      </c>
      <c r="Y74" s="73" t="e">
        <f t="shared" si="29"/>
        <v>#N/A</v>
      </c>
      <c r="Z74" s="73" t="e">
        <f t="shared" si="30"/>
        <v>#N/A</v>
      </c>
      <c r="AA74" s="127" t="e">
        <f t="shared" si="31"/>
        <v>#N/A</v>
      </c>
      <c r="AB74" s="149"/>
    </row>
    <row r="75" spans="1:28">
      <c r="A75" s="140"/>
      <c r="B75" s="144"/>
      <c r="C75" s="142" t="e">
        <f>INDEX('Справочник цен'!$D$3:$D$88,MATCH('Калькулятор затрат'!B75,'Справочник цен'!$C$3:$C$88,0))</f>
        <v>#N/A</v>
      </c>
      <c r="D75" s="154">
        <f>SUMIF('Справочник цен'!$C$2:$C$88,$B75,'Справочник цен'!E$2:E$88)</f>
        <v>0</v>
      </c>
      <c r="E75" s="73" t="e">
        <f t="shared" si="17"/>
        <v>#DIV/0!</v>
      </c>
      <c r="F75" s="73">
        <f>SUMIF('Справочник цен'!C$3:C$88,B75,'Справочник цен'!F$3:F$88)</f>
        <v>0</v>
      </c>
      <c r="G75" s="73" t="e">
        <f t="shared" si="18"/>
        <v>#DIV/0!</v>
      </c>
      <c r="H75" s="73">
        <f>SUMIF('Справочник цен'!$C$2:$C$88,$B75,'Справочник цен'!G$2:G$88)</f>
        <v>0</v>
      </c>
      <c r="I75" s="73">
        <f t="shared" si="19"/>
        <v>0</v>
      </c>
      <c r="J75" s="154">
        <f t="shared" si="20"/>
        <v>0</v>
      </c>
      <c r="K75" s="154" t="e">
        <f t="shared" si="21"/>
        <v>#DIV/0!</v>
      </c>
      <c r="L75" s="259">
        <f t="shared" si="22"/>
        <v>0</v>
      </c>
      <c r="M75" s="138" t="e">
        <f>INDEX('Справочник цен'!I$3:I$88,MATCH('Калькулятор затрат'!$B75,'Справочник цен'!$C$3:$C$86,0))</f>
        <v>#N/A</v>
      </c>
      <c r="N75" s="73" t="e">
        <f>INDEX('Справочник цен'!J$3:J$88,MATCH('Калькулятор затрат'!$B75,'Справочник цен'!$C$3:$C$86,0))</f>
        <v>#N/A</v>
      </c>
      <c r="O75" s="73" t="e">
        <f t="shared" si="23"/>
        <v>#N/A</v>
      </c>
      <c r="P75" s="73" t="e">
        <f t="shared" si="24"/>
        <v>#N/A</v>
      </c>
      <c r="Q75" s="127" t="e">
        <f t="shared" si="25"/>
        <v>#N/A</v>
      </c>
      <c r="R75" s="136" t="e">
        <f>INDEX('Справочник цен'!K$3:K$88,MATCH('Калькулятор затрат'!$B75,'Справочник цен'!$C$3:$C$86,0))</f>
        <v>#N/A</v>
      </c>
      <c r="S75" s="73" t="e">
        <f>INDEX('Справочник цен'!L$3:L$88,MATCH('Калькулятор затрат'!$B75,'Справочник цен'!$C$3:$C$86,0))</f>
        <v>#N/A</v>
      </c>
      <c r="T75" s="73" t="e">
        <f t="shared" si="26"/>
        <v>#N/A</v>
      </c>
      <c r="U75" s="73" t="e">
        <f t="shared" si="27"/>
        <v>#N/A</v>
      </c>
      <c r="V75" s="125" t="e">
        <f t="shared" si="28"/>
        <v>#N/A</v>
      </c>
      <c r="W75" s="138" t="e">
        <f>INDEX('Справочник цен'!M$3:M$88,MATCH('Калькулятор затрат'!$B75,'Справочник цен'!$C$3:$C$86,0))</f>
        <v>#N/A</v>
      </c>
      <c r="X75" s="73" t="e">
        <f>INDEX('Справочник цен'!N$3:N$88,MATCH('Калькулятор затрат'!$B75,'Справочник цен'!$C$3:$C$86,0))</f>
        <v>#N/A</v>
      </c>
      <c r="Y75" s="73" t="e">
        <f t="shared" si="29"/>
        <v>#N/A</v>
      </c>
      <c r="Z75" s="73" t="e">
        <f t="shared" si="30"/>
        <v>#N/A</v>
      </c>
      <c r="AA75" s="127" t="e">
        <f t="shared" si="31"/>
        <v>#N/A</v>
      </c>
      <c r="AB75" s="149"/>
    </row>
    <row r="76" spans="1:28">
      <c r="A76" s="140"/>
      <c r="B76" s="144"/>
      <c r="C76" s="142" t="e">
        <f>INDEX('Справочник цен'!$D$3:$D$88,MATCH('Калькулятор затрат'!B76,'Справочник цен'!$C$3:$C$88,0))</f>
        <v>#N/A</v>
      </c>
      <c r="D76" s="154">
        <f>SUMIF('Справочник цен'!$C$2:$C$88,$B76,'Справочник цен'!E$2:E$88)</f>
        <v>0</v>
      </c>
      <c r="E76" s="73" t="e">
        <f t="shared" si="17"/>
        <v>#DIV/0!</v>
      </c>
      <c r="F76" s="73">
        <f>SUMIF('Справочник цен'!C$3:C$88,B76,'Справочник цен'!F$3:F$88)</f>
        <v>0</v>
      </c>
      <c r="G76" s="73" t="e">
        <f t="shared" si="18"/>
        <v>#DIV/0!</v>
      </c>
      <c r="H76" s="73">
        <f>SUMIF('Справочник цен'!$C$2:$C$88,$B76,'Справочник цен'!G$2:G$88)</f>
        <v>0</v>
      </c>
      <c r="I76" s="73">
        <f t="shared" si="19"/>
        <v>0</v>
      </c>
      <c r="J76" s="154">
        <f t="shared" si="20"/>
        <v>0</v>
      </c>
      <c r="K76" s="154" t="e">
        <f t="shared" si="21"/>
        <v>#DIV/0!</v>
      </c>
      <c r="L76" s="259">
        <f t="shared" si="22"/>
        <v>0</v>
      </c>
      <c r="M76" s="138" t="e">
        <f>INDEX('Справочник цен'!I$3:I$88,MATCH('Калькулятор затрат'!$B76,'Справочник цен'!$C$3:$C$86,0))</f>
        <v>#N/A</v>
      </c>
      <c r="N76" s="73" t="e">
        <f>INDEX('Справочник цен'!J$3:J$88,MATCH('Калькулятор затрат'!$B76,'Справочник цен'!$C$3:$C$86,0))</f>
        <v>#N/A</v>
      </c>
      <c r="O76" s="73" t="e">
        <f t="shared" si="23"/>
        <v>#N/A</v>
      </c>
      <c r="P76" s="73" t="e">
        <f t="shared" si="24"/>
        <v>#N/A</v>
      </c>
      <c r="Q76" s="127" t="e">
        <f t="shared" si="25"/>
        <v>#N/A</v>
      </c>
      <c r="R76" s="136" t="e">
        <f>INDEX('Справочник цен'!K$3:K$88,MATCH('Калькулятор затрат'!$B76,'Справочник цен'!$C$3:$C$86,0))</f>
        <v>#N/A</v>
      </c>
      <c r="S76" s="73" t="e">
        <f>INDEX('Справочник цен'!L$3:L$88,MATCH('Калькулятор затрат'!$B76,'Справочник цен'!$C$3:$C$86,0))</f>
        <v>#N/A</v>
      </c>
      <c r="T76" s="73" t="e">
        <f t="shared" si="26"/>
        <v>#N/A</v>
      </c>
      <c r="U76" s="73" t="e">
        <f t="shared" si="27"/>
        <v>#N/A</v>
      </c>
      <c r="V76" s="125" t="e">
        <f t="shared" si="28"/>
        <v>#N/A</v>
      </c>
      <c r="W76" s="138" t="e">
        <f>INDEX('Справочник цен'!M$3:M$88,MATCH('Калькулятор затрат'!$B76,'Справочник цен'!$C$3:$C$86,0))</f>
        <v>#N/A</v>
      </c>
      <c r="X76" s="73" t="e">
        <f>INDEX('Справочник цен'!N$3:N$88,MATCH('Калькулятор затрат'!$B76,'Справочник цен'!$C$3:$C$86,0))</f>
        <v>#N/A</v>
      </c>
      <c r="Y76" s="73" t="e">
        <f t="shared" si="29"/>
        <v>#N/A</v>
      </c>
      <c r="Z76" s="73" t="e">
        <f t="shared" si="30"/>
        <v>#N/A</v>
      </c>
      <c r="AA76" s="127" t="e">
        <f t="shared" si="31"/>
        <v>#N/A</v>
      </c>
      <c r="AB76" s="149"/>
    </row>
    <row r="77" spans="1:28">
      <c r="A77" s="140"/>
      <c r="B77" s="144"/>
      <c r="C77" s="142" t="e">
        <f>INDEX('Справочник цен'!$D$3:$D$88,MATCH('Калькулятор затрат'!B77,'Справочник цен'!$C$3:$C$88,0))</f>
        <v>#N/A</v>
      </c>
      <c r="D77" s="154">
        <f>SUMIF('Справочник цен'!$C$2:$C$88,$B77,'Справочник цен'!E$2:E$88)</f>
        <v>0</v>
      </c>
      <c r="E77" s="73" t="e">
        <f t="shared" si="17"/>
        <v>#DIV/0!</v>
      </c>
      <c r="F77" s="73">
        <f>SUMIF('Справочник цен'!C$3:C$88,B77,'Справочник цен'!F$3:F$88)</f>
        <v>0</v>
      </c>
      <c r="G77" s="73" t="e">
        <f t="shared" si="18"/>
        <v>#DIV/0!</v>
      </c>
      <c r="H77" s="73">
        <f>SUMIF('Справочник цен'!$C$2:$C$88,$B77,'Справочник цен'!G$2:G$88)</f>
        <v>0</v>
      </c>
      <c r="I77" s="73">
        <f t="shared" si="19"/>
        <v>0</v>
      </c>
      <c r="J77" s="154">
        <f t="shared" si="20"/>
        <v>0</v>
      </c>
      <c r="K77" s="154" t="e">
        <f t="shared" si="21"/>
        <v>#DIV/0!</v>
      </c>
      <c r="L77" s="259">
        <f t="shared" si="22"/>
        <v>0</v>
      </c>
      <c r="M77" s="138" t="e">
        <f>INDEX('Справочник цен'!I$3:I$88,MATCH('Калькулятор затрат'!$B77,'Справочник цен'!$C$3:$C$86,0))</f>
        <v>#N/A</v>
      </c>
      <c r="N77" s="73" t="e">
        <f>INDEX('Справочник цен'!J$3:J$88,MATCH('Калькулятор затрат'!$B77,'Справочник цен'!$C$3:$C$86,0))</f>
        <v>#N/A</v>
      </c>
      <c r="O77" s="73" t="e">
        <f t="shared" si="23"/>
        <v>#N/A</v>
      </c>
      <c r="P77" s="73" t="e">
        <f t="shared" si="24"/>
        <v>#N/A</v>
      </c>
      <c r="Q77" s="127" t="e">
        <f t="shared" si="25"/>
        <v>#N/A</v>
      </c>
      <c r="R77" s="136" t="e">
        <f>INDEX('Справочник цен'!K$3:K$88,MATCH('Калькулятор затрат'!$B77,'Справочник цен'!$C$3:$C$86,0))</f>
        <v>#N/A</v>
      </c>
      <c r="S77" s="73" t="e">
        <f>INDEX('Справочник цен'!L$3:L$88,MATCH('Калькулятор затрат'!$B77,'Справочник цен'!$C$3:$C$86,0))</f>
        <v>#N/A</v>
      </c>
      <c r="T77" s="73" t="e">
        <f t="shared" si="26"/>
        <v>#N/A</v>
      </c>
      <c r="U77" s="73" t="e">
        <f t="shared" si="27"/>
        <v>#N/A</v>
      </c>
      <c r="V77" s="125" t="e">
        <f t="shared" si="28"/>
        <v>#N/A</v>
      </c>
      <c r="W77" s="138" t="e">
        <f>INDEX('Справочник цен'!M$3:M$88,MATCH('Калькулятор затрат'!$B77,'Справочник цен'!$C$3:$C$86,0))</f>
        <v>#N/A</v>
      </c>
      <c r="X77" s="73" t="e">
        <f>INDEX('Справочник цен'!N$3:N$88,MATCH('Калькулятор затрат'!$B77,'Справочник цен'!$C$3:$C$86,0))</f>
        <v>#N/A</v>
      </c>
      <c r="Y77" s="73" t="e">
        <f t="shared" si="29"/>
        <v>#N/A</v>
      </c>
      <c r="Z77" s="73" t="e">
        <f t="shared" si="30"/>
        <v>#N/A</v>
      </c>
      <c r="AA77" s="127" t="e">
        <f t="shared" si="31"/>
        <v>#N/A</v>
      </c>
      <c r="AB77" s="149"/>
    </row>
    <row r="78" spans="1:28">
      <c r="A78" s="140"/>
      <c r="B78" s="144"/>
      <c r="C78" s="142" t="e">
        <f>INDEX('Справочник цен'!$D$3:$D$88,MATCH('Калькулятор затрат'!B78,'Справочник цен'!$C$3:$C$88,0))</f>
        <v>#N/A</v>
      </c>
      <c r="D78" s="154">
        <f>SUMIF('Справочник цен'!$C$2:$C$88,$B78,'Справочник цен'!E$2:E$88)</f>
        <v>0</v>
      </c>
      <c r="E78" s="73" t="e">
        <f t="shared" si="17"/>
        <v>#DIV/0!</v>
      </c>
      <c r="F78" s="73">
        <f>SUMIF('Справочник цен'!C$3:C$88,B78,'Справочник цен'!F$3:F$88)</f>
        <v>0</v>
      </c>
      <c r="G78" s="73" t="e">
        <f t="shared" si="18"/>
        <v>#DIV/0!</v>
      </c>
      <c r="H78" s="73">
        <f>SUMIF('Справочник цен'!$C$2:$C$88,$B78,'Справочник цен'!G$2:G$88)</f>
        <v>0</v>
      </c>
      <c r="I78" s="73">
        <f t="shared" si="19"/>
        <v>0</v>
      </c>
      <c r="J78" s="154">
        <f t="shared" si="20"/>
        <v>0</v>
      </c>
      <c r="K78" s="154" t="e">
        <f t="shared" si="21"/>
        <v>#DIV/0!</v>
      </c>
      <c r="L78" s="259">
        <f t="shared" si="22"/>
        <v>0</v>
      </c>
      <c r="M78" s="138" t="e">
        <f>INDEX('Справочник цен'!I$3:I$88,MATCH('Калькулятор затрат'!$B78,'Справочник цен'!$C$3:$C$86,0))</f>
        <v>#N/A</v>
      </c>
      <c r="N78" s="73" t="e">
        <f>INDEX('Справочник цен'!J$3:J$88,MATCH('Калькулятор затрат'!$B78,'Справочник цен'!$C$3:$C$86,0))</f>
        <v>#N/A</v>
      </c>
      <c r="O78" s="73" t="e">
        <f t="shared" si="23"/>
        <v>#N/A</v>
      </c>
      <c r="P78" s="73" t="e">
        <f t="shared" si="24"/>
        <v>#N/A</v>
      </c>
      <c r="Q78" s="127" t="e">
        <f t="shared" si="25"/>
        <v>#N/A</v>
      </c>
      <c r="R78" s="136" t="e">
        <f>INDEX('Справочник цен'!K$3:K$88,MATCH('Калькулятор затрат'!$B78,'Справочник цен'!$C$3:$C$86,0))</f>
        <v>#N/A</v>
      </c>
      <c r="S78" s="73" t="e">
        <f>INDEX('Справочник цен'!L$3:L$88,MATCH('Калькулятор затрат'!$B78,'Справочник цен'!$C$3:$C$86,0))</f>
        <v>#N/A</v>
      </c>
      <c r="T78" s="73" t="e">
        <f t="shared" si="26"/>
        <v>#N/A</v>
      </c>
      <c r="U78" s="73" t="e">
        <f t="shared" si="27"/>
        <v>#N/A</v>
      </c>
      <c r="V78" s="125" t="e">
        <f t="shared" si="28"/>
        <v>#N/A</v>
      </c>
      <c r="W78" s="138" t="e">
        <f>INDEX('Справочник цен'!M$3:M$88,MATCH('Калькулятор затрат'!$B78,'Справочник цен'!$C$3:$C$86,0))</f>
        <v>#N/A</v>
      </c>
      <c r="X78" s="73" t="e">
        <f>INDEX('Справочник цен'!N$3:N$88,MATCH('Калькулятор затрат'!$B78,'Справочник цен'!$C$3:$C$86,0))</f>
        <v>#N/A</v>
      </c>
      <c r="Y78" s="73" t="e">
        <f t="shared" si="29"/>
        <v>#N/A</v>
      </c>
      <c r="Z78" s="73" t="e">
        <f t="shared" si="30"/>
        <v>#N/A</v>
      </c>
      <c r="AA78" s="127" t="e">
        <f t="shared" si="31"/>
        <v>#N/A</v>
      </c>
      <c r="AB78" s="149"/>
    </row>
    <row r="79" spans="1:28">
      <c r="A79" s="140"/>
      <c r="B79" s="144"/>
      <c r="C79" s="142" t="e">
        <f>INDEX('Справочник цен'!$D$3:$D$88,MATCH('Калькулятор затрат'!B79,'Справочник цен'!$C$3:$C$88,0))</f>
        <v>#N/A</v>
      </c>
      <c r="D79" s="154">
        <f>SUMIF('Справочник цен'!$C$2:$C$88,$B79,'Справочник цен'!E$2:E$88)</f>
        <v>0</v>
      </c>
      <c r="E79" s="73" t="e">
        <f t="shared" si="17"/>
        <v>#DIV/0!</v>
      </c>
      <c r="F79" s="73">
        <f>SUMIF('Справочник цен'!C$3:C$88,B79,'Справочник цен'!F$3:F$88)</f>
        <v>0</v>
      </c>
      <c r="G79" s="73" t="e">
        <f t="shared" si="18"/>
        <v>#DIV/0!</v>
      </c>
      <c r="H79" s="73">
        <f>SUMIF('Справочник цен'!$C$2:$C$88,$B79,'Справочник цен'!G$2:G$88)</f>
        <v>0</v>
      </c>
      <c r="I79" s="73">
        <f t="shared" si="19"/>
        <v>0</v>
      </c>
      <c r="J79" s="154">
        <f t="shared" si="20"/>
        <v>0</v>
      </c>
      <c r="K79" s="154" t="e">
        <f t="shared" si="21"/>
        <v>#DIV/0!</v>
      </c>
      <c r="L79" s="259">
        <f t="shared" si="22"/>
        <v>0</v>
      </c>
      <c r="M79" s="138" t="e">
        <f>INDEX('Справочник цен'!I$3:I$88,MATCH('Калькулятор затрат'!$B79,'Справочник цен'!$C$3:$C$86,0))</f>
        <v>#N/A</v>
      </c>
      <c r="N79" s="73" t="e">
        <f>INDEX('Справочник цен'!J$3:J$88,MATCH('Калькулятор затрат'!$B79,'Справочник цен'!$C$3:$C$86,0))</f>
        <v>#N/A</v>
      </c>
      <c r="O79" s="73" t="e">
        <f t="shared" si="23"/>
        <v>#N/A</v>
      </c>
      <c r="P79" s="73" t="e">
        <f t="shared" si="24"/>
        <v>#N/A</v>
      </c>
      <c r="Q79" s="127" t="e">
        <f t="shared" si="25"/>
        <v>#N/A</v>
      </c>
      <c r="R79" s="136" t="e">
        <f>INDEX('Справочник цен'!K$3:K$88,MATCH('Калькулятор затрат'!$B79,'Справочник цен'!$C$3:$C$86,0))</f>
        <v>#N/A</v>
      </c>
      <c r="S79" s="73" t="e">
        <f>INDEX('Справочник цен'!L$3:L$88,MATCH('Калькулятор затрат'!$B79,'Справочник цен'!$C$3:$C$86,0))</f>
        <v>#N/A</v>
      </c>
      <c r="T79" s="73" t="e">
        <f t="shared" si="26"/>
        <v>#N/A</v>
      </c>
      <c r="U79" s="73" t="e">
        <f t="shared" si="27"/>
        <v>#N/A</v>
      </c>
      <c r="V79" s="125" t="e">
        <f t="shared" si="28"/>
        <v>#N/A</v>
      </c>
      <c r="W79" s="138" t="e">
        <f>INDEX('Справочник цен'!M$3:M$88,MATCH('Калькулятор затрат'!$B79,'Справочник цен'!$C$3:$C$86,0))</f>
        <v>#N/A</v>
      </c>
      <c r="X79" s="73" t="e">
        <f>INDEX('Справочник цен'!N$3:N$88,MATCH('Калькулятор затрат'!$B79,'Справочник цен'!$C$3:$C$86,0))</f>
        <v>#N/A</v>
      </c>
      <c r="Y79" s="73" t="e">
        <f t="shared" si="29"/>
        <v>#N/A</v>
      </c>
      <c r="Z79" s="73" t="e">
        <f t="shared" si="30"/>
        <v>#N/A</v>
      </c>
      <c r="AA79" s="127" t="e">
        <f t="shared" si="31"/>
        <v>#N/A</v>
      </c>
      <c r="AB79" s="149"/>
    </row>
    <row r="80" spans="1:28">
      <c r="A80" s="140"/>
      <c r="B80" s="144"/>
      <c r="C80" s="142" t="e">
        <f>INDEX('Справочник цен'!$D$3:$D$88,MATCH('Калькулятор затрат'!B80,'Справочник цен'!$C$3:$C$88,0))</f>
        <v>#N/A</v>
      </c>
      <c r="D80" s="154">
        <f>SUMIF('Справочник цен'!$C$2:$C$88,$B80,'Справочник цен'!E$2:E$88)</f>
        <v>0</v>
      </c>
      <c r="E80" s="73" t="e">
        <f t="shared" si="17"/>
        <v>#DIV/0!</v>
      </c>
      <c r="F80" s="73">
        <f>SUMIF('Справочник цен'!C$3:C$88,B80,'Справочник цен'!F$3:F$88)</f>
        <v>0</v>
      </c>
      <c r="G80" s="73" t="e">
        <f t="shared" si="18"/>
        <v>#DIV/0!</v>
      </c>
      <c r="H80" s="73">
        <f>SUMIF('Справочник цен'!$C$2:$C$88,$B80,'Справочник цен'!G$2:G$88)</f>
        <v>0</v>
      </c>
      <c r="I80" s="73">
        <f t="shared" si="19"/>
        <v>0</v>
      </c>
      <c r="J80" s="154">
        <f t="shared" si="20"/>
        <v>0</v>
      </c>
      <c r="K80" s="154" t="e">
        <f t="shared" si="21"/>
        <v>#DIV/0!</v>
      </c>
      <c r="L80" s="259">
        <f t="shared" si="22"/>
        <v>0</v>
      </c>
      <c r="M80" s="138" t="e">
        <f>INDEX('Справочник цен'!I$3:I$88,MATCH('Калькулятор затрат'!$B80,'Справочник цен'!$C$3:$C$86,0))</f>
        <v>#N/A</v>
      </c>
      <c r="N80" s="73" t="e">
        <f>INDEX('Справочник цен'!J$3:J$88,MATCH('Калькулятор затрат'!$B80,'Справочник цен'!$C$3:$C$86,0))</f>
        <v>#N/A</v>
      </c>
      <c r="O80" s="73" t="e">
        <f t="shared" si="23"/>
        <v>#N/A</v>
      </c>
      <c r="P80" s="73" t="e">
        <f t="shared" si="24"/>
        <v>#N/A</v>
      </c>
      <c r="Q80" s="127" t="e">
        <f t="shared" si="25"/>
        <v>#N/A</v>
      </c>
      <c r="R80" s="136" t="e">
        <f>INDEX('Справочник цен'!K$3:K$88,MATCH('Калькулятор затрат'!$B80,'Справочник цен'!$C$3:$C$86,0))</f>
        <v>#N/A</v>
      </c>
      <c r="S80" s="73" t="e">
        <f>INDEX('Справочник цен'!L$3:L$88,MATCH('Калькулятор затрат'!$B80,'Справочник цен'!$C$3:$C$86,0))</f>
        <v>#N/A</v>
      </c>
      <c r="T80" s="73" t="e">
        <f t="shared" si="26"/>
        <v>#N/A</v>
      </c>
      <c r="U80" s="73" t="e">
        <f t="shared" si="27"/>
        <v>#N/A</v>
      </c>
      <c r="V80" s="125" t="e">
        <f t="shared" si="28"/>
        <v>#N/A</v>
      </c>
      <c r="W80" s="138" t="e">
        <f>INDEX('Справочник цен'!M$3:M$88,MATCH('Калькулятор затрат'!$B80,'Справочник цен'!$C$3:$C$86,0))</f>
        <v>#N/A</v>
      </c>
      <c r="X80" s="73" t="e">
        <f>INDEX('Справочник цен'!N$3:N$88,MATCH('Калькулятор затрат'!$B80,'Справочник цен'!$C$3:$C$86,0))</f>
        <v>#N/A</v>
      </c>
      <c r="Y80" s="73" t="e">
        <f t="shared" si="29"/>
        <v>#N/A</v>
      </c>
      <c r="Z80" s="73" t="e">
        <f t="shared" si="30"/>
        <v>#N/A</v>
      </c>
      <c r="AA80" s="127" t="e">
        <f t="shared" si="31"/>
        <v>#N/A</v>
      </c>
      <c r="AB80" s="149"/>
    </row>
    <row r="81" spans="1:28">
      <c r="A81" s="140"/>
      <c r="B81" s="144"/>
      <c r="C81" s="142" t="e">
        <f>INDEX('Справочник цен'!$D$3:$D$88,MATCH('Калькулятор затрат'!B81,'Справочник цен'!$C$3:$C$88,0))</f>
        <v>#N/A</v>
      </c>
      <c r="D81" s="154">
        <f>SUMIF('Справочник цен'!$C$2:$C$88,$B81,'Справочник цен'!E$2:E$88)</f>
        <v>0</v>
      </c>
      <c r="E81" s="73" t="e">
        <f t="shared" si="17"/>
        <v>#DIV/0!</v>
      </c>
      <c r="F81" s="73">
        <f>SUMIF('Справочник цен'!C$3:C$88,B81,'Справочник цен'!F$3:F$88)</f>
        <v>0</v>
      </c>
      <c r="G81" s="73" t="e">
        <f t="shared" si="18"/>
        <v>#DIV/0!</v>
      </c>
      <c r="H81" s="73">
        <f>SUMIF('Справочник цен'!$C$2:$C$88,$B81,'Справочник цен'!G$2:G$88)</f>
        <v>0</v>
      </c>
      <c r="I81" s="73">
        <f t="shared" si="19"/>
        <v>0</v>
      </c>
      <c r="J81" s="154">
        <f t="shared" si="20"/>
        <v>0</v>
      </c>
      <c r="K81" s="154" t="e">
        <f t="shared" si="21"/>
        <v>#DIV/0!</v>
      </c>
      <c r="L81" s="259">
        <f t="shared" si="22"/>
        <v>0</v>
      </c>
      <c r="M81" s="138" t="e">
        <f>INDEX('Справочник цен'!I$3:I$88,MATCH('Калькулятор затрат'!$B81,'Справочник цен'!$C$3:$C$86,0))</f>
        <v>#N/A</v>
      </c>
      <c r="N81" s="73" t="e">
        <f>INDEX('Справочник цен'!J$3:J$88,MATCH('Калькулятор затрат'!$B81,'Справочник цен'!$C$3:$C$86,0))</f>
        <v>#N/A</v>
      </c>
      <c r="O81" s="73" t="e">
        <f t="shared" si="23"/>
        <v>#N/A</v>
      </c>
      <c r="P81" s="73" t="e">
        <f t="shared" si="24"/>
        <v>#N/A</v>
      </c>
      <c r="Q81" s="127" t="e">
        <f t="shared" si="25"/>
        <v>#N/A</v>
      </c>
      <c r="R81" s="136" t="e">
        <f>INDEX('Справочник цен'!K$3:K$88,MATCH('Калькулятор затрат'!$B81,'Справочник цен'!$C$3:$C$86,0))</f>
        <v>#N/A</v>
      </c>
      <c r="S81" s="73" t="e">
        <f>INDEX('Справочник цен'!L$3:L$88,MATCH('Калькулятор затрат'!$B81,'Справочник цен'!$C$3:$C$86,0))</f>
        <v>#N/A</v>
      </c>
      <c r="T81" s="73" t="e">
        <f t="shared" si="26"/>
        <v>#N/A</v>
      </c>
      <c r="U81" s="73" t="e">
        <f t="shared" si="27"/>
        <v>#N/A</v>
      </c>
      <c r="V81" s="125" t="e">
        <f t="shared" si="28"/>
        <v>#N/A</v>
      </c>
      <c r="W81" s="138" t="e">
        <f>INDEX('Справочник цен'!M$3:M$88,MATCH('Калькулятор затрат'!$B81,'Справочник цен'!$C$3:$C$86,0))</f>
        <v>#N/A</v>
      </c>
      <c r="X81" s="73" t="e">
        <f>INDEX('Справочник цен'!N$3:N$88,MATCH('Калькулятор затрат'!$B81,'Справочник цен'!$C$3:$C$86,0))</f>
        <v>#N/A</v>
      </c>
      <c r="Y81" s="73" t="e">
        <f t="shared" si="29"/>
        <v>#N/A</v>
      </c>
      <c r="Z81" s="73" t="e">
        <f t="shared" si="30"/>
        <v>#N/A</v>
      </c>
      <c r="AA81" s="127" t="e">
        <f t="shared" si="31"/>
        <v>#N/A</v>
      </c>
      <c r="AB81" s="149"/>
    </row>
    <row r="82" spans="1:28">
      <c r="A82" s="140"/>
      <c r="B82" s="144"/>
      <c r="C82" s="142" t="e">
        <f>INDEX('Справочник цен'!$D$3:$D$88,MATCH('Калькулятор затрат'!B82,'Справочник цен'!$C$3:$C$88,0))</f>
        <v>#N/A</v>
      </c>
      <c r="D82" s="154">
        <f>SUMIF('Справочник цен'!$C$2:$C$88,$B82,'Справочник цен'!E$2:E$88)</f>
        <v>0</v>
      </c>
      <c r="E82" s="73" t="e">
        <f t="shared" si="17"/>
        <v>#DIV/0!</v>
      </c>
      <c r="F82" s="73">
        <f>SUMIF('Справочник цен'!C$3:C$88,B82,'Справочник цен'!F$3:F$88)</f>
        <v>0</v>
      </c>
      <c r="G82" s="73" t="e">
        <f t="shared" si="18"/>
        <v>#DIV/0!</v>
      </c>
      <c r="H82" s="73">
        <f>SUMIF('Справочник цен'!$C$2:$C$88,$B82,'Справочник цен'!G$2:G$88)</f>
        <v>0</v>
      </c>
      <c r="I82" s="73">
        <f t="shared" si="19"/>
        <v>0</v>
      </c>
      <c r="J82" s="154">
        <f t="shared" si="20"/>
        <v>0</v>
      </c>
      <c r="K82" s="154" t="e">
        <f t="shared" si="21"/>
        <v>#DIV/0!</v>
      </c>
      <c r="L82" s="259">
        <f t="shared" si="22"/>
        <v>0</v>
      </c>
      <c r="M82" s="138" t="e">
        <f>INDEX('Справочник цен'!I$3:I$88,MATCH('Калькулятор затрат'!$B82,'Справочник цен'!$C$3:$C$86,0))</f>
        <v>#N/A</v>
      </c>
      <c r="N82" s="73" t="e">
        <f>INDEX('Справочник цен'!J$3:J$88,MATCH('Калькулятор затрат'!$B82,'Справочник цен'!$C$3:$C$86,0))</f>
        <v>#N/A</v>
      </c>
      <c r="O82" s="73" t="e">
        <f t="shared" si="23"/>
        <v>#N/A</v>
      </c>
      <c r="P82" s="73" t="e">
        <f t="shared" si="24"/>
        <v>#N/A</v>
      </c>
      <c r="Q82" s="127" t="e">
        <f t="shared" si="25"/>
        <v>#N/A</v>
      </c>
      <c r="R82" s="136" t="e">
        <f>INDEX('Справочник цен'!K$3:K$88,MATCH('Калькулятор затрат'!$B82,'Справочник цен'!$C$3:$C$86,0))</f>
        <v>#N/A</v>
      </c>
      <c r="S82" s="73" t="e">
        <f>INDEX('Справочник цен'!L$3:L$88,MATCH('Калькулятор затрат'!$B82,'Справочник цен'!$C$3:$C$86,0))</f>
        <v>#N/A</v>
      </c>
      <c r="T82" s="73" t="e">
        <f t="shared" si="26"/>
        <v>#N/A</v>
      </c>
      <c r="U82" s="73" t="e">
        <f t="shared" si="27"/>
        <v>#N/A</v>
      </c>
      <c r="V82" s="125" t="e">
        <f t="shared" si="28"/>
        <v>#N/A</v>
      </c>
      <c r="W82" s="138" t="e">
        <f>INDEX('Справочник цен'!M$3:M$88,MATCH('Калькулятор затрат'!$B82,'Справочник цен'!$C$3:$C$86,0))</f>
        <v>#N/A</v>
      </c>
      <c r="X82" s="73" t="e">
        <f>INDEX('Справочник цен'!N$3:N$88,MATCH('Калькулятор затрат'!$B82,'Справочник цен'!$C$3:$C$86,0))</f>
        <v>#N/A</v>
      </c>
      <c r="Y82" s="73" t="e">
        <f t="shared" si="29"/>
        <v>#N/A</v>
      </c>
      <c r="Z82" s="73" t="e">
        <f t="shared" si="30"/>
        <v>#N/A</v>
      </c>
      <c r="AA82" s="127" t="e">
        <f t="shared" si="31"/>
        <v>#N/A</v>
      </c>
      <c r="AB82" s="149"/>
    </row>
    <row r="83" spans="1:28">
      <c r="A83" s="140"/>
      <c r="B83" s="144"/>
      <c r="C83" s="142" t="e">
        <f>INDEX('Справочник цен'!$D$3:$D$88,MATCH('Калькулятор затрат'!B83,'Справочник цен'!$C$3:$C$88,0))</f>
        <v>#N/A</v>
      </c>
      <c r="D83" s="154">
        <f>SUMIF('Справочник цен'!$C$2:$C$88,$B83,'Справочник цен'!E$2:E$88)</f>
        <v>0</v>
      </c>
      <c r="E83" s="73" t="e">
        <f t="shared" si="17"/>
        <v>#DIV/0!</v>
      </c>
      <c r="F83" s="73">
        <f>SUMIF('Справочник цен'!C$3:C$88,B83,'Справочник цен'!F$3:F$88)</f>
        <v>0</v>
      </c>
      <c r="G83" s="73" t="e">
        <f t="shared" si="18"/>
        <v>#DIV/0!</v>
      </c>
      <c r="H83" s="73">
        <f>SUMIF('Справочник цен'!$C$2:$C$88,$B83,'Справочник цен'!G$2:G$88)</f>
        <v>0</v>
      </c>
      <c r="I83" s="73">
        <f t="shared" si="19"/>
        <v>0</v>
      </c>
      <c r="J83" s="154">
        <f t="shared" si="20"/>
        <v>0</v>
      </c>
      <c r="K83" s="154" t="e">
        <f t="shared" si="21"/>
        <v>#DIV/0!</v>
      </c>
      <c r="L83" s="259">
        <f t="shared" si="22"/>
        <v>0</v>
      </c>
      <c r="M83" s="138" t="e">
        <f>INDEX('Справочник цен'!I$3:I$88,MATCH('Калькулятор затрат'!$B83,'Справочник цен'!$C$3:$C$86,0))</f>
        <v>#N/A</v>
      </c>
      <c r="N83" s="73" t="e">
        <f>INDEX('Справочник цен'!J$3:J$88,MATCH('Калькулятор затрат'!$B83,'Справочник цен'!$C$3:$C$86,0))</f>
        <v>#N/A</v>
      </c>
      <c r="O83" s="73" t="e">
        <f t="shared" si="23"/>
        <v>#N/A</v>
      </c>
      <c r="P83" s="73" t="e">
        <f t="shared" si="24"/>
        <v>#N/A</v>
      </c>
      <c r="Q83" s="127" t="e">
        <f t="shared" si="25"/>
        <v>#N/A</v>
      </c>
      <c r="R83" s="136" t="e">
        <f>INDEX('Справочник цен'!K$3:K$88,MATCH('Калькулятор затрат'!$B83,'Справочник цен'!$C$3:$C$86,0))</f>
        <v>#N/A</v>
      </c>
      <c r="S83" s="73" t="e">
        <f>INDEX('Справочник цен'!L$3:L$88,MATCH('Калькулятор затрат'!$B83,'Справочник цен'!$C$3:$C$86,0))</f>
        <v>#N/A</v>
      </c>
      <c r="T83" s="73" t="e">
        <f t="shared" si="26"/>
        <v>#N/A</v>
      </c>
      <c r="U83" s="73" t="e">
        <f t="shared" si="27"/>
        <v>#N/A</v>
      </c>
      <c r="V83" s="125" t="e">
        <f t="shared" si="28"/>
        <v>#N/A</v>
      </c>
      <c r="W83" s="138" t="e">
        <f>INDEX('Справочник цен'!M$3:M$88,MATCH('Калькулятор затрат'!$B83,'Справочник цен'!$C$3:$C$86,0))</f>
        <v>#N/A</v>
      </c>
      <c r="X83" s="73" t="e">
        <f>INDEX('Справочник цен'!N$3:N$88,MATCH('Калькулятор затрат'!$B83,'Справочник цен'!$C$3:$C$86,0))</f>
        <v>#N/A</v>
      </c>
      <c r="Y83" s="73" t="e">
        <f t="shared" si="29"/>
        <v>#N/A</v>
      </c>
      <c r="Z83" s="73" t="e">
        <f t="shared" si="30"/>
        <v>#N/A</v>
      </c>
      <c r="AA83" s="127" t="e">
        <f t="shared" si="31"/>
        <v>#N/A</v>
      </c>
      <c r="AB83" s="149"/>
    </row>
    <row r="84" spans="1:28">
      <c r="A84" s="140"/>
      <c r="B84" s="144"/>
      <c r="C84" s="142" t="e">
        <f>INDEX('Справочник цен'!$D$3:$D$88,MATCH('Калькулятор затрат'!B84,'Справочник цен'!$C$3:$C$88,0))</f>
        <v>#N/A</v>
      </c>
      <c r="D84" s="154">
        <f>SUMIF('Справочник цен'!$C$2:$C$88,$B84,'Справочник цен'!E$2:E$88)</f>
        <v>0</v>
      </c>
      <c r="E84" s="73" t="e">
        <f t="shared" si="17"/>
        <v>#DIV/0!</v>
      </c>
      <c r="F84" s="73">
        <f>SUMIF('Справочник цен'!C$3:C$88,B84,'Справочник цен'!F$3:F$88)</f>
        <v>0</v>
      </c>
      <c r="G84" s="73" t="e">
        <f t="shared" si="18"/>
        <v>#DIV/0!</v>
      </c>
      <c r="H84" s="73">
        <f>SUMIF('Справочник цен'!$C$2:$C$88,$B84,'Справочник цен'!G$2:G$88)</f>
        <v>0</v>
      </c>
      <c r="I84" s="73">
        <f t="shared" si="19"/>
        <v>0</v>
      </c>
      <c r="J84" s="154">
        <f t="shared" si="20"/>
        <v>0</v>
      </c>
      <c r="K84" s="154" t="e">
        <f t="shared" si="21"/>
        <v>#DIV/0!</v>
      </c>
      <c r="L84" s="259">
        <f t="shared" si="22"/>
        <v>0</v>
      </c>
      <c r="M84" s="138" t="e">
        <f>INDEX('Справочник цен'!I$3:I$88,MATCH('Калькулятор затрат'!$B84,'Справочник цен'!$C$3:$C$86,0))</f>
        <v>#N/A</v>
      </c>
      <c r="N84" s="73" t="e">
        <f>INDEX('Справочник цен'!J$3:J$88,MATCH('Калькулятор затрат'!$B84,'Справочник цен'!$C$3:$C$86,0))</f>
        <v>#N/A</v>
      </c>
      <c r="O84" s="73" t="e">
        <f t="shared" si="23"/>
        <v>#N/A</v>
      </c>
      <c r="P84" s="73" t="e">
        <f t="shared" si="24"/>
        <v>#N/A</v>
      </c>
      <c r="Q84" s="127" t="e">
        <f t="shared" si="25"/>
        <v>#N/A</v>
      </c>
      <c r="R84" s="136" t="e">
        <f>INDEX('Справочник цен'!K$3:K$88,MATCH('Калькулятор затрат'!$B84,'Справочник цен'!$C$3:$C$86,0))</f>
        <v>#N/A</v>
      </c>
      <c r="S84" s="73" t="e">
        <f>INDEX('Справочник цен'!L$3:L$88,MATCH('Калькулятор затрат'!$B84,'Справочник цен'!$C$3:$C$86,0))</f>
        <v>#N/A</v>
      </c>
      <c r="T84" s="73" t="e">
        <f t="shared" si="26"/>
        <v>#N/A</v>
      </c>
      <c r="U84" s="73" t="e">
        <f t="shared" si="27"/>
        <v>#N/A</v>
      </c>
      <c r="V84" s="125" t="e">
        <f t="shared" si="28"/>
        <v>#N/A</v>
      </c>
      <c r="W84" s="138" t="e">
        <f>INDEX('Справочник цен'!M$3:M$88,MATCH('Калькулятор затрат'!$B84,'Справочник цен'!$C$3:$C$86,0))</f>
        <v>#N/A</v>
      </c>
      <c r="X84" s="73" t="e">
        <f>INDEX('Справочник цен'!N$3:N$88,MATCH('Калькулятор затрат'!$B84,'Справочник цен'!$C$3:$C$86,0))</f>
        <v>#N/A</v>
      </c>
      <c r="Y84" s="73" t="e">
        <f t="shared" si="29"/>
        <v>#N/A</v>
      </c>
      <c r="Z84" s="73" t="e">
        <f t="shared" si="30"/>
        <v>#N/A</v>
      </c>
      <c r="AA84" s="127" t="e">
        <f t="shared" si="31"/>
        <v>#N/A</v>
      </c>
      <c r="AB84" s="149"/>
    </row>
    <row r="85" spans="1:28">
      <c r="A85" s="140"/>
      <c r="B85" s="144"/>
      <c r="C85" s="142" t="e">
        <f>INDEX('Справочник цен'!$D$3:$D$88,MATCH('Калькулятор затрат'!B85,'Справочник цен'!$C$3:$C$88,0))</f>
        <v>#N/A</v>
      </c>
      <c r="D85" s="154">
        <f>SUMIF('Справочник цен'!$C$2:$C$88,$B85,'Справочник цен'!E$2:E$88)</f>
        <v>0</v>
      </c>
      <c r="E85" s="73" t="e">
        <f t="shared" si="17"/>
        <v>#DIV/0!</v>
      </c>
      <c r="F85" s="73">
        <f>SUMIF('Справочник цен'!C$3:C$88,B85,'Справочник цен'!F$3:F$88)</f>
        <v>0</v>
      </c>
      <c r="G85" s="73" t="e">
        <f t="shared" si="18"/>
        <v>#DIV/0!</v>
      </c>
      <c r="H85" s="73">
        <f>SUMIF('Справочник цен'!$C$2:$C$88,$B85,'Справочник цен'!G$2:G$88)</f>
        <v>0</v>
      </c>
      <c r="I85" s="73">
        <f t="shared" si="19"/>
        <v>0</v>
      </c>
      <c r="J85" s="154">
        <f t="shared" si="20"/>
        <v>0</v>
      </c>
      <c r="K85" s="154" t="e">
        <f t="shared" si="21"/>
        <v>#DIV/0!</v>
      </c>
      <c r="L85" s="259">
        <f t="shared" si="22"/>
        <v>0</v>
      </c>
      <c r="M85" s="138" t="e">
        <f>INDEX('Справочник цен'!I$3:I$88,MATCH('Калькулятор затрат'!$B85,'Справочник цен'!$C$3:$C$86,0))</f>
        <v>#N/A</v>
      </c>
      <c r="N85" s="73" t="e">
        <f>INDEX('Справочник цен'!J$3:J$88,MATCH('Калькулятор затрат'!$B85,'Справочник цен'!$C$3:$C$86,0))</f>
        <v>#N/A</v>
      </c>
      <c r="O85" s="73" t="e">
        <f t="shared" si="23"/>
        <v>#N/A</v>
      </c>
      <c r="P85" s="73" t="e">
        <f t="shared" si="24"/>
        <v>#N/A</v>
      </c>
      <c r="Q85" s="127" t="e">
        <f t="shared" si="25"/>
        <v>#N/A</v>
      </c>
      <c r="R85" s="136" t="e">
        <f>INDEX('Справочник цен'!K$3:K$88,MATCH('Калькулятор затрат'!$B85,'Справочник цен'!$C$3:$C$86,0))</f>
        <v>#N/A</v>
      </c>
      <c r="S85" s="73" t="e">
        <f>INDEX('Справочник цен'!L$3:L$88,MATCH('Калькулятор затрат'!$B85,'Справочник цен'!$C$3:$C$86,0))</f>
        <v>#N/A</v>
      </c>
      <c r="T85" s="73" t="e">
        <f t="shared" si="26"/>
        <v>#N/A</v>
      </c>
      <c r="U85" s="73" t="e">
        <f t="shared" si="27"/>
        <v>#N/A</v>
      </c>
      <c r="V85" s="125" t="e">
        <f t="shared" si="28"/>
        <v>#N/A</v>
      </c>
      <c r="W85" s="138" t="e">
        <f>INDEX('Справочник цен'!M$3:M$88,MATCH('Калькулятор затрат'!$B85,'Справочник цен'!$C$3:$C$86,0))</f>
        <v>#N/A</v>
      </c>
      <c r="X85" s="73" t="e">
        <f>INDEX('Справочник цен'!N$3:N$88,MATCH('Калькулятор затрат'!$B85,'Справочник цен'!$C$3:$C$86,0))</f>
        <v>#N/A</v>
      </c>
      <c r="Y85" s="73" t="e">
        <f t="shared" si="29"/>
        <v>#N/A</v>
      </c>
      <c r="Z85" s="73" t="e">
        <f t="shared" si="30"/>
        <v>#N/A</v>
      </c>
      <c r="AA85" s="127" t="e">
        <f t="shared" si="31"/>
        <v>#N/A</v>
      </c>
      <c r="AB85" s="149"/>
    </row>
    <row r="86" spans="1:28" ht="15.75" thickBot="1">
      <c r="A86" s="164"/>
      <c r="B86" s="165"/>
      <c r="C86" s="143" t="e">
        <f>INDEX('Справочник цен'!$D$3:$D$88,MATCH('Калькулятор затрат'!B86,'Справочник цен'!$C$3:$C$88,0))</f>
        <v>#N/A</v>
      </c>
      <c r="D86" s="171">
        <f>SUMIF('Справочник цен'!$C$2:$C$88,$B86,'Справочник цен'!E$2:E$88)</f>
        <v>0</v>
      </c>
      <c r="E86" s="129" t="e">
        <f t="shared" si="17"/>
        <v>#DIV/0!</v>
      </c>
      <c r="F86" s="129">
        <f>SUMIF('Справочник цен'!C$3:C$88,B86,'Справочник цен'!F$3:F$88)</f>
        <v>0</v>
      </c>
      <c r="G86" s="129" t="e">
        <f t="shared" si="18"/>
        <v>#DIV/0!</v>
      </c>
      <c r="H86" s="129">
        <f>SUMIF('Справочник цен'!$C$2:$C$88,$B86,'Справочник цен'!G$2:G$88)</f>
        <v>0</v>
      </c>
      <c r="I86" s="129">
        <f t="shared" si="19"/>
        <v>0</v>
      </c>
      <c r="J86" s="171">
        <f t="shared" si="20"/>
        <v>0</v>
      </c>
      <c r="K86" s="171" t="e">
        <f t="shared" si="21"/>
        <v>#DIV/0!</v>
      </c>
      <c r="L86" s="260">
        <f t="shared" si="22"/>
        <v>0</v>
      </c>
      <c r="M86" s="174" t="e">
        <f>INDEX('Справочник цен'!I$3:I$88,MATCH('Калькулятор затрат'!$B86,'Справочник цен'!$C$3:$C$86,0))</f>
        <v>#N/A</v>
      </c>
      <c r="N86" s="129" t="e">
        <f>INDEX('Справочник цен'!J$3:J$88,MATCH('Калькулятор затрат'!$B86,'Справочник цен'!$C$3:$C$86,0))</f>
        <v>#N/A</v>
      </c>
      <c r="O86" s="129" t="e">
        <f t="shared" si="23"/>
        <v>#N/A</v>
      </c>
      <c r="P86" s="129" t="e">
        <f t="shared" si="24"/>
        <v>#N/A</v>
      </c>
      <c r="Q86" s="130" t="e">
        <f t="shared" si="25"/>
        <v>#N/A</v>
      </c>
      <c r="R86" s="173" t="e">
        <f>INDEX('Справочник цен'!K$3:K$88,MATCH('Калькулятор затрат'!$B86,'Справочник цен'!$C$3:$C$86,0))</f>
        <v>#N/A</v>
      </c>
      <c r="S86" s="129" t="e">
        <f>INDEX('Справочник цен'!L$3:L$88,MATCH('Калькулятор затрат'!$B86,'Справочник цен'!$C$3:$C$86,0))</f>
        <v>#N/A</v>
      </c>
      <c r="T86" s="129" t="e">
        <f t="shared" si="26"/>
        <v>#N/A</v>
      </c>
      <c r="U86" s="129" t="e">
        <f t="shared" si="27"/>
        <v>#N/A</v>
      </c>
      <c r="V86" s="141" t="e">
        <f t="shared" si="28"/>
        <v>#N/A</v>
      </c>
      <c r="W86" s="174" t="e">
        <f>INDEX('Справочник цен'!M$3:M$88,MATCH('Калькулятор затрат'!$B86,'Справочник цен'!$C$3:$C$86,0))</f>
        <v>#N/A</v>
      </c>
      <c r="X86" s="129" t="e">
        <f>INDEX('Справочник цен'!N$3:N$88,MATCH('Калькулятор затрат'!$B86,'Справочник цен'!$C$3:$C$86,0))</f>
        <v>#N/A</v>
      </c>
      <c r="Y86" s="129" t="e">
        <f t="shared" si="29"/>
        <v>#N/A</v>
      </c>
      <c r="Z86" s="129" t="e">
        <f t="shared" si="30"/>
        <v>#N/A</v>
      </c>
      <c r="AA86" s="130" t="e">
        <f t="shared" si="31"/>
        <v>#N/A</v>
      </c>
      <c r="AB86" s="166"/>
    </row>
    <row r="87" spans="1:28" ht="18.75">
      <c r="A87" s="316" t="s">
        <v>55</v>
      </c>
      <c r="B87" s="317"/>
      <c r="C87" s="120"/>
      <c r="D87" s="147"/>
      <c r="E87" s="132"/>
      <c r="F87" s="132"/>
      <c r="G87" s="132"/>
      <c r="H87" s="132"/>
      <c r="I87" s="132">
        <f t="shared" ref="I87:I95" si="32">SUMIF($A$4:$A$86,A87,$I$4:$I$86)</f>
        <v>0</v>
      </c>
      <c r="J87" s="132"/>
      <c r="K87" s="132"/>
      <c r="L87" s="137"/>
      <c r="M87" s="131"/>
      <c r="N87" s="132">
        <f>SUMIF($A$4:$A$86,#REF!,N$4:N$86)</f>
        <v>0</v>
      </c>
      <c r="O87" s="132"/>
      <c r="P87" s="132"/>
      <c r="Q87" s="137"/>
      <c r="R87" s="131"/>
      <c r="S87" s="132">
        <f>SUMIF($A$4:$A$86,#REF!,S$4:S$86)</f>
        <v>0</v>
      </c>
      <c r="T87" s="132"/>
      <c r="U87" s="132"/>
      <c r="V87" s="137">
        <f t="shared" ref="V87:V98" si="33">R87/$V$3</f>
        <v>0</v>
      </c>
      <c r="W87" s="131"/>
      <c r="X87" s="132">
        <f t="shared" ref="X87:X97" si="34">SUMIF($A$4:$A$86,A87,X$4:X$86)</f>
        <v>0</v>
      </c>
      <c r="Y87" s="132"/>
      <c r="Z87" s="132"/>
      <c r="AA87" s="133"/>
      <c r="AB87" s="167"/>
    </row>
    <row r="88" spans="1:28" ht="18.75">
      <c r="A88" s="314" t="s">
        <v>58</v>
      </c>
      <c r="B88" s="315"/>
      <c r="C88" s="121"/>
      <c r="D88" s="139"/>
      <c r="E88" s="73"/>
      <c r="F88" s="73"/>
      <c r="G88" s="73"/>
      <c r="H88" s="73"/>
      <c r="I88" s="73">
        <f t="shared" si="32"/>
        <v>0</v>
      </c>
      <c r="J88" s="73"/>
      <c r="K88" s="73"/>
      <c r="L88" s="125"/>
      <c r="M88" s="126"/>
      <c r="N88" s="73">
        <f>SUMIF($A$4:$A$86,#REF!,N$4:N$86)</f>
        <v>0</v>
      </c>
      <c r="O88" s="73"/>
      <c r="P88" s="73"/>
      <c r="Q88" s="125"/>
      <c r="R88" s="126"/>
      <c r="S88" s="73">
        <f>SUMIF($A$4:$A$86,#REF!,S$4:S$86)</f>
        <v>0</v>
      </c>
      <c r="T88" s="73"/>
      <c r="U88" s="73"/>
      <c r="V88" s="125">
        <f t="shared" si="33"/>
        <v>0</v>
      </c>
      <c r="W88" s="126"/>
      <c r="X88" s="73">
        <f t="shared" si="34"/>
        <v>0</v>
      </c>
      <c r="Y88" s="73"/>
      <c r="Z88" s="73"/>
      <c r="AA88" s="127"/>
      <c r="AB88" s="149"/>
    </row>
    <row r="89" spans="1:28" ht="18.75">
      <c r="A89" s="314" t="s">
        <v>67</v>
      </c>
      <c r="B89" s="315"/>
      <c r="C89" s="121"/>
      <c r="D89" s="139"/>
      <c r="E89" s="73"/>
      <c r="F89" s="73"/>
      <c r="G89" s="73"/>
      <c r="H89" s="73"/>
      <c r="I89" s="73">
        <f t="shared" si="32"/>
        <v>0</v>
      </c>
      <c r="J89" s="73"/>
      <c r="K89" s="73"/>
      <c r="L89" s="125"/>
      <c r="M89" s="126"/>
      <c r="N89" s="73">
        <f>SUMIF($A$4:$A$86,#REF!,N$4:N$86)</f>
        <v>0</v>
      </c>
      <c r="O89" s="73"/>
      <c r="P89" s="73"/>
      <c r="Q89" s="125"/>
      <c r="R89" s="126"/>
      <c r="S89" s="73">
        <f>SUMIF($A$4:$A$86,#REF!,S$4:S$86)</f>
        <v>0</v>
      </c>
      <c r="T89" s="73"/>
      <c r="U89" s="73"/>
      <c r="V89" s="125">
        <f t="shared" si="33"/>
        <v>0</v>
      </c>
      <c r="W89" s="126"/>
      <c r="X89" s="73">
        <f t="shared" si="34"/>
        <v>0</v>
      </c>
      <c r="Y89" s="73"/>
      <c r="Z89" s="73"/>
      <c r="AA89" s="127"/>
      <c r="AB89" s="149"/>
    </row>
    <row r="90" spans="1:28" ht="18.75">
      <c r="A90" s="314" t="s">
        <v>94</v>
      </c>
      <c r="B90" s="315"/>
      <c r="C90" s="121"/>
      <c r="D90" s="139"/>
      <c r="E90" s="73"/>
      <c r="F90" s="73"/>
      <c r="G90" s="73"/>
      <c r="H90" s="73"/>
      <c r="I90" s="73">
        <f t="shared" si="32"/>
        <v>0</v>
      </c>
      <c r="J90" s="73"/>
      <c r="K90" s="73"/>
      <c r="L90" s="125"/>
      <c r="M90" s="126"/>
      <c r="N90" s="73">
        <f>SUMIF($A$4:$A$86,#REF!,N$4:N$86)</f>
        <v>0</v>
      </c>
      <c r="O90" s="73"/>
      <c r="P90" s="73"/>
      <c r="Q90" s="125"/>
      <c r="R90" s="126"/>
      <c r="S90" s="73">
        <f>SUMIF($A$4:$A$86,#REF!,S$4:S$86)</f>
        <v>0</v>
      </c>
      <c r="T90" s="73"/>
      <c r="U90" s="73"/>
      <c r="V90" s="125">
        <f t="shared" si="33"/>
        <v>0</v>
      </c>
      <c r="W90" s="126"/>
      <c r="X90" s="73">
        <f t="shared" si="34"/>
        <v>0</v>
      </c>
      <c r="Y90" s="73"/>
      <c r="Z90" s="73"/>
      <c r="AA90" s="127"/>
      <c r="AB90" s="149"/>
    </row>
    <row r="91" spans="1:28" ht="18.75">
      <c r="A91" s="314" t="s">
        <v>89</v>
      </c>
      <c r="B91" s="315"/>
      <c r="C91" s="121"/>
      <c r="D91" s="139"/>
      <c r="E91" s="73"/>
      <c r="F91" s="73"/>
      <c r="G91" s="73"/>
      <c r="H91" s="73"/>
      <c r="I91" s="73">
        <f t="shared" si="32"/>
        <v>0</v>
      </c>
      <c r="J91" s="73"/>
      <c r="K91" s="73"/>
      <c r="L91" s="125"/>
      <c r="M91" s="126"/>
      <c r="N91" s="73">
        <f>SUMIF($A$4:$A$86,#REF!,N$4:N$86)</f>
        <v>0</v>
      </c>
      <c r="O91" s="73"/>
      <c r="P91" s="73"/>
      <c r="Q91" s="125"/>
      <c r="R91" s="126"/>
      <c r="S91" s="73">
        <f>SUMIF($A$4:$A$86,#REF!,S$4:S$86)</f>
        <v>0</v>
      </c>
      <c r="T91" s="73"/>
      <c r="U91" s="73"/>
      <c r="V91" s="125">
        <f t="shared" si="33"/>
        <v>0</v>
      </c>
      <c r="W91" s="126"/>
      <c r="X91" s="73">
        <f t="shared" si="34"/>
        <v>0</v>
      </c>
      <c r="Y91" s="73"/>
      <c r="Z91" s="73"/>
      <c r="AA91" s="127"/>
      <c r="AB91" s="149"/>
    </row>
    <row r="92" spans="1:28" ht="18.75">
      <c r="A92" s="314" t="s">
        <v>72</v>
      </c>
      <c r="B92" s="315"/>
      <c r="C92" s="121"/>
      <c r="D92" s="139"/>
      <c r="E92" s="73"/>
      <c r="F92" s="73"/>
      <c r="G92" s="73"/>
      <c r="H92" s="73"/>
      <c r="I92" s="73">
        <f t="shared" si="32"/>
        <v>0</v>
      </c>
      <c r="J92" s="73"/>
      <c r="K92" s="73"/>
      <c r="L92" s="125"/>
      <c r="M92" s="126"/>
      <c r="N92" s="73">
        <f>SUMIF($A$4:$A$86,#REF!,N$4:N$86)</f>
        <v>0</v>
      </c>
      <c r="O92" s="73"/>
      <c r="P92" s="73"/>
      <c r="Q92" s="125"/>
      <c r="R92" s="126"/>
      <c r="S92" s="73">
        <f>SUMIF($A$4:$A$86,#REF!,S$4:S$86)</f>
        <v>0</v>
      </c>
      <c r="T92" s="73"/>
      <c r="U92" s="73"/>
      <c r="V92" s="125">
        <f t="shared" si="33"/>
        <v>0</v>
      </c>
      <c r="W92" s="126"/>
      <c r="X92" s="73">
        <f t="shared" si="34"/>
        <v>0</v>
      </c>
      <c r="Y92" s="73"/>
      <c r="Z92" s="73"/>
      <c r="AA92" s="127"/>
      <c r="AB92" s="149"/>
    </row>
    <row r="93" spans="1:28" ht="18.75">
      <c r="A93" s="314" t="s">
        <v>83</v>
      </c>
      <c r="B93" s="315"/>
      <c r="C93" s="121"/>
      <c r="D93" s="139"/>
      <c r="E93" s="73"/>
      <c r="F93" s="73"/>
      <c r="G93" s="73"/>
      <c r="H93" s="73"/>
      <c r="I93" s="73">
        <f t="shared" si="32"/>
        <v>0</v>
      </c>
      <c r="J93" s="73"/>
      <c r="K93" s="73"/>
      <c r="L93" s="125"/>
      <c r="M93" s="126"/>
      <c r="N93" s="73">
        <f>SUMIF($A$4:$A$86,#REF!,N$4:N$86)</f>
        <v>0</v>
      </c>
      <c r="O93" s="73"/>
      <c r="P93" s="73"/>
      <c r="Q93" s="125"/>
      <c r="R93" s="126"/>
      <c r="S93" s="73">
        <f>SUMIF($A$4:$A$86,#REF!,S$4:S$86)</f>
        <v>0</v>
      </c>
      <c r="T93" s="73"/>
      <c r="U93" s="73"/>
      <c r="V93" s="125">
        <f t="shared" si="33"/>
        <v>0</v>
      </c>
      <c r="W93" s="126"/>
      <c r="X93" s="73">
        <f t="shared" si="34"/>
        <v>0</v>
      </c>
      <c r="Y93" s="73"/>
      <c r="Z93" s="73"/>
      <c r="AA93" s="127"/>
      <c r="AB93" s="149"/>
    </row>
    <row r="94" spans="1:28" ht="18.75">
      <c r="A94" s="314" t="s">
        <v>78</v>
      </c>
      <c r="B94" s="315"/>
      <c r="C94" s="121"/>
      <c r="D94" s="139"/>
      <c r="E94" s="73"/>
      <c r="F94" s="73"/>
      <c r="G94" s="73"/>
      <c r="H94" s="73"/>
      <c r="I94" s="73">
        <f t="shared" si="32"/>
        <v>0</v>
      </c>
      <c r="J94" s="73"/>
      <c r="K94" s="73"/>
      <c r="L94" s="125"/>
      <c r="M94" s="126"/>
      <c r="N94" s="73">
        <f>SUMIF($A$4:$A$86,#REF!,N$4:N$86)</f>
        <v>0</v>
      </c>
      <c r="O94" s="73"/>
      <c r="P94" s="73"/>
      <c r="Q94" s="125"/>
      <c r="R94" s="126"/>
      <c r="S94" s="73">
        <f>SUMIF($A$4:$A$86,#REF!,S$4:S$86)</f>
        <v>0</v>
      </c>
      <c r="T94" s="73"/>
      <c r="U94" s="73"/>
      <c r="V94" s="125">
        <f t="shared" si="33"/>
        <v>0</v>
      </c>
      <c r="W94" s="126"/>
      <c r="X94" s="73">
        <f t="shared" si="34"/>
        <v>0</v>
      </c>
      <c r="Y94" s="73"/>
      <c r="Z94" s="73"/>
      <c r="AA94" s="127"/>
      <c r="AB94" s="149"/>
    </row>
    <row r="95" spans="1:28" s="70" customFormat="1" ht="18.75">
      <c r="A95" s="335" t="s">
        <v>76</v>
      </c>
      <c r="B95" s="336"/>
      <c r="C95" s="121"/>
      <c r="D95" s="139"/>
      <c r="E95" s="73"/>
      <c r="F95" s="73"/>
      <c r="G95" s="73"/>
      <c r="H95" s="73"/>
      <c r="I95" s="73">
        <f t="shared" si="32"/>
        <v>0</v>
      </c>
      <c r="J95" s="73"/>
      <c r="K95" s="73"/>
      <c r="L95" s="125"/>
      <c r="M95" s="126"/>
      <c r="N95" s="73">
        <f>SUMIF($A$4:$A$86,#REF!,N$4:N$86)</f>
        <v>0</v>
      </c>
      <c r="O95" s="73"/>
      <c r="P95" s="73"/>
      <c r="Q95" s="125"/>
      <c r="R95" s="126"/>
      <c r="S95" s="73">
        <f>SUMIF($A$4:$A$86,#REF!,S$4:S$86)</f>
        <v>0</v>
      </c>
      <c r="T95" s="73"/>
      <c r="U95" s="73"/>
      <c r="V95" s="125">
        <f t="shared" si="33"/>
        <v>0</v>
      </c>
      <c r="W95" s="126"/>
      <c r="X95" s="73">
        <f t="shared" si="34"/>
        <v>0</v>
      </c>
      <c r="Y95" s="73"/>
      <c r="Z95" s="73"/>
      <c r="AA95" s="127"/>
      <c r="AB95" s="149"/>
    </row>
    <row r="96" spans="1:28" s="70" customFormat="1" ht="18.75">
      <c r="A96" s="335" t="s">
        <v>244</v>
      </c>
      <c r="B96" s="336"/>
      <c r="C96" s="121"/>
      <c r="D96" s="139"/>
      <c r="E96" s="73"/>
      <c r="F96" s="73"/>
      <c r="G96" s="73"/>
      <c r="H96" s="73"/>
      <c r="I96" s="73">
        <f t="shared" ref="I96:I97" si="35">SUMIF($A$4:$A$86,A96,$I$4:$I$86)</f>
        <v>0</v>
      </c>
      <c r="J96" s="73"/>
      <c r="K96" s="73"/>
      <c r="L96" s="125"/>
      <c r="M96" s="126"/>
      <c r="N96" s="73">
        <f>SUMIF($A$4:$A$86,#REF!,N$4:N$86)</f>
        <v>0</v>
      </c>
      <c r="O96" s="73"/>
      <c r="P96" s="73"/>
      <c r="Q96" s="125"/>
      <c r="R96" s="126"/>
      <c r="S96" s="73">
        <f>SUMIF($A$4:$A$86,#REF!,S$4:S$86)</f>
        <v>0</v>
      </c>
      <c r="T96" s="73"/>
      <c r="U96" s="73"/>
      <c r="V96" s="125">
        <f t="shared" ref="V96:V97" si="36">R96/$V$3</f>
        <v>0</v>
      </c>
      <c r="W96" s="126"/>
      <c r="X96" s="73">
        <f t="shared" si="34"/>
        <v>0</v>
      </c>
      <c r="Y96" s="73"/>
      <c r="Z96" s="73"/>
      <c r="AA96" s="127"/>
      <c r="AB96" s="149"/>
    </row>
    <row r="97" spans="1:28" s="70" customFormat="1" ht="18.75">
      <c r="A97" s="335" t="s">
        <v>245</v>
      </c>
      <c r="B97" s="336"/>
      <c r="C97" s="121"/>
      <c r="D97" s="139"/>
      <c r="E97" s="73"/>
      <c r="F97" s="73"/>
      <c r="G97" s="73"/>
      <c r="H97" s="73"/>
      <c r="I97" s="73">
        <f t="shared" si="35"/>
        <v>0</v>
      </c>
      <c r="J97" s="73"/>
      <c r="K97" s="73"/>
      <c r="L97" s="125"/>
      <c r="M97" s="126"/>
      <c r="N97" s="73">
        <f>SUMIF($A$4:$A$86,#REF!,N$4:N$86)</f>
        <v>0</v>
      </c>
      <c r="O97" s="73"/>
      <c r="P97" s="73"/>
      <c r="Q97" s="125"/>
      <c r="R97" s="126"/>
      <c r="S97" s="73">
        <f>SUMIF($A$4:$A$86,#REF!,S$4:S$86)</f>
        <v>0</v>
      </c>
      <c r="T97" s="73"/>
      <c r="U97" s="73"/>
      <c r="V97" s="125">
        <f t="shared" si="36"/>
        <v>0</v>
      </c>
      <c r="W97" s="126"/>
      <c r="X97" s="73">
        <f t="shared" si="34"/>
        <v>0</v>
      </c>
      <c r="Y97" s="73"/>
      <c r="Z97" s="73"/>
      <c r="AA97" s="127"/>
      <c r="AB97" s="149"/>
    </row>
    <row r="98" spans="1:28" ht="19.5" thickBot="1">
      <c r="A98" s="333" t="s">
        <v>21</v>
      </c>
      <c r="B98" s="334"/>
      <c r="C98" s="124"/>
      <c r="D98" s="156"/>
      <c r="E98" s="129"/>
      <c r="F98" s="129"/>
      <c r="G98" s="129"/>
      <c r="H98" s="129"/>
      <c r="I98" s="129">
        <f>SUM(I87:I95)</f>
        <v>0</v>
      </c>
      <c r="J98" s="129"/>
      <c r="K98" s="129"/>
      <c r="L98" s="141"/>
      <c r="M98" s="128"/>
      <c r="N98" s="129">
        <f t="shared" ref="N98" si="37">SUM(N87:N95)</f>
        <v>0</v>
      </c>
      <c r="O98" s="129"/>
      <c r="P98" s="129"/>
      <c r="Q98" s="141"/>
      <c r="R98" s="128"/>
      <c r="S98" s="129">
        <f t="shared" ref="S98" si="38">SUM(S87:S95)</f>
        <v>0</v>
      </c>
      <c r="T98" s="129"/>
      <c r="U98" s="129"/>
      <c r="V98" s="141">
        <f t="shared" si="33"/>
        <v>0</v>
      </c>
      <c r="W98" s="128"/>
      <c r="X98" s="129">
        <f t="shared" ref="X98" si="39">SUM(X87:X95)</f>
        <v>0</v>
      </c>
      <c r="Y98" s="129"/>
      <c r="Z98" s="129"/>
      <c r="AA98" s="130"/>
      <c r="AB98" s="150"/>
    </row>
  </sheetData>
  <sheetProtection insertColumns="0" insertRows="0" deleteColumns="0" deleteRows="0" sort="0"/>
  <mergeCells count="36">
    <mergeCell ref="A98:B98"/>
    <mergeCell ref="A88:B88"/>
    <mergeCell ref="A89:B89"/>
    <mergeCell ref="A90:B90"/>
    <mergeCell ref="A91:B91"/>
    <mergeCell ref="A92:B92"/>
    <mergeCell ref="A97:B97"/>
    <mergeCell ref="A96:B96"/>
    <mergeCell ref="A95:B95"/>
    <mergeCell ref="AB1:AB3"/>
    <mergeCell ref="A93:B93"/>
    <mergeCell ref="A94:B94"/>
    <mergeCell ref="A87:B87"/>
    <mergeCell ref="D1:L1"/>
    <mergeCell ref="Z2:Z3"/>
    <mergeCell ref="A1:A3"/>
    <mergeCell ref="B1:B3"/>
    <mergeCell ref="C1:C3"/>
    <mergeCell ref="I2:I3"/>
    <mergeCell ref="H2:H3"/>
    <mergeCell ref="G2:G3"/>
    <mergeCell ref="F2:F3"/>
    <mergeCell ref="E2:E3"/>
    <mergeCell ref="W1:AA1"/>
    <mergeCell ref="R1:V1"/>
    <mergeCell ref="M1:Q1"/>
    <mergeCell ref="D2:D3"/>
    <mergeCell ref="X2:X3"/>
    <mergeCell ref="W2:W3"/>
    <mergeCell ref="K2:K3"/>
    <mergeCell ref="R2:R3"/>
    <mergeCell ref="S2:S3"/>
    <mergeCell ref="U2:U3"/>
    <mergeCell ref="M2:M3"/>
    <mergeCell ref="N2:N3"/>
    <mergeCell ref="P2:P3"/>
  </mergeCells>
  <conditionalFormatting sqref="L87:L95 L98">
    <cfRule type="cellIs" dxfId="38" priority="41" operator="lessThan">
      <formula>MAX(#REF!,#REF!,AB87)</formula>
    </cfRule>
    <cfRule type="cellIs" dxfId="37" priority="42" operator="greaterThan">
      <formula>MAX(#REF!,#REF!,AB87)</formula>
    </cfRule>
  </conditionalFormatting>
  <conditionalFormatting sqref="J4:J86">
    <cfRule type="cellIs" dxfId="36" priority="13" operator="lessThan">
      <formula>MAX(O4,T4,Y4)</formula>
    </cfRule>
  </conditionalFormatting>
  <conditionalFormatting sqref="J4:J86">
    <cfRule type="cellIs" dxfId="35" priority="14" operator="greaterThan">
      <formula>MAX(O4,T4,Y4)</formula>
    </cfRule>
  </conditionalFormatting>
  <conditionalFormatting sqref="K4:K86">
    <cfRule type="cellIs" dxfId="34" priority="9" operator="lessThan">
      <formula>MAX(P4,U4,Z4)</formula>
    </cfRule>
  </conditionalFormatting>
  <conditionalFormatting sqref="K4:K86">
    <cfRule type="cellIs" dxfId="33" priority="10" operator="greaterThan">
      <formula>MAX(P4,U4,Z4)</formula>
    </cfRule>
  </conditionalFormatting>
  <conditionalFormatting sqref="L4:L86">
    <cfRule type="cellIs" dxfId="32" priority="7" operator="lessThanOrEqual">
      <formula>MAX(Q4,V4,AA4)</formula>
    </cfRule>
  </conditionalFormatting>
  <conditionalFormatting sqref="L4:L86">
    <cfRule type="cellIs" dxfId="31" priority="8" operator="greaterThan">
      <formula>MAX(Q4,V4,AA4)</formula>
    </cfRule>
  </conditionalFormatting>
  <conditionalFormatting sqref="D4:D86">
    <cfRule type="cellIs" dxfId="30" priority="5" operator="lessThan">
      <formula>MAX(W4,M4,R4)</formula>
    </cfRule>
  </conditionalFormatting>
  <conditionalFormatting sqref="D4:D86">
    <cfRule type="cellIs" dxfId="29" priority="6" operator="greaterThan">
      <formula>MAX(W4,M4,R4)</formula>
    </cfRule>
  </conditionalFormatting>
  <conditionalFormatting sqref="L96">
    <cfRule type="cellIs" dxfId="28" priority="3" operator="lessThan">
      <formula>MAX(#REF!,#REF!,AB96)</formula>
    </cfRule>
    <cfRule type="cellIs" dxfId="27" priority="4" operator="greaterThan">
      <formula>MAX(#REF!,#REF!,AB96)</formula>
    </cfRule>
  </conditionalFormatting>
  <conditionalFormatting sqref="L97">
    <cfRule type="cellIs" dxfId="26" priority="1" operator="lessThan">
      <formula>MAX(#REF!,#REF!,AB97)</formula>
    </cfRule>
    <cfRule type="cellIs" dxfId="25" priority="2" operator="greaterThan">
      <formula>MAX(#REF!,#REF!,AB97)</formula>
    </cfRule>
  </conditionalFormatting>
  <dataValidations count="2">
    <dataValidation type="list" allowBlank="1" showInputMessage="1" showErrorMessage="1" sqref="B4:B97" xr:uid="{00000000-0002-0000-0100-000000000000}">
      <formula1>INDIRECT("Источник["&amp;$A4&amp;"]")</formula1>
    </dataValidation>
    <dataValidation type="list" allowBlank="1" showInputMessage="1" showErrorMessage="1" sqref="A4:A97" xr:uid="{00000000-0002-0000-0100-000001000000}">
      <formula1>INDIRECT("Источник[#Заголовки]")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A102"/>
  <sheetViews>
    <sheetView tabSelected="1" workbookViewId="0">
      <pane ySplit="2" topLeftCell="A18" activePane="bottomLeft" state="frozen"/>
      <selection pane="bottomLeft" activeCell="C21" sqref="C21"/>
    </sheetView>
  </sheetViews>
  <sheetFormatPr defaultColWidth="9" defaultRowHeight="15"/>
  <cols>
    <col min="2" max="2" width="22" customWidth="1"/>
    <col min="3" max="3" width="74.140625" customWidth="1"/>
    <col min="4" max="5" width="12.42578125" style="49" customWidth="1"/>
    <col min="6" max="6" width="16" style="50" customWidth="1"/>
    <col min="7" max="8" width="16" style="51" customWidth="1"/>
    <col min="9" max="9" width="16" style="186" customWidth="1"/>
    <col min="10" max="10" width="17.42578125" style="52" customWidth="1"/>
    <col min="11" max="11" width="17.42578125" style="190" customWidth="1"/>
    <col min="12" max="12" width="17.42578125" style="52" customWidth="1"/>
    <col min="13" max="13" width="17.42578125" style="190" customWidth="1"/>
    <col min="14" max="14" width="17.42578125" style="52" customWidth="1"/>
    <col min="15" max="15" width="16" customWidth="1"/>
    <col min="17" max="26" width="32.7109375" style="63" customWidth="1"/>
    <col min="27" max="27" width="46" style="63" customWidth="1"/>
  </cols>
  <sheetData>
    <row r="1" spans="1:27" s="70" customFormat="1" ht="15.75" customHeight="1">
      <c r="A1" s="303" t="s">
        <v>95</v>
      </c>
      <c r="B1" s="303" t="s">
        <v>41</v>
      </c>
      <c r="C1" s="303" t="s">
        <v>42</v>
      </c>
      <c r="D1" s="339" t="s">
        <v>43</v>
      </c>
      <c r="E1" s="340" t="s">
        <v>242</v>
      </c>
      <c r="F1" s="341"/>
      <c r="G1" s="341"/>
      <c r="H1" s="305"/>
      <c r="I1" s="337" t="s">
        <v>238</v>
      </c>
      <c r="J1" s="337"/>
      <c r="K1" s="338" t="s">
        <v>45</v>
      </c>
      <c r="L1" s="338"/>
      <c r="M1" s="338" t="s">
        <v>46</v>
      </c>
      <c r="N1" s="338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</row>
    <row r="2" spans="1:27" ht="25.5">
      <c r="A2" s="303"/>
      <c r="B2" s="303"/>
      <c r="C2" s="303"/>
      <c r="D2" s="339"/>
      <c r="E2" s="153" t="s">
        <v>47</v>
      </c>
      <c r="F2" s="152" t="s">
        <v>49</v>
      </c>
      <c r="G2" s="152" t="s">
        <v>241</v>
      </c>
      <c r="H2" s="152" t="s">
        <v>255</v>
      </c>
      <c r="I2" s="187" t="s">
        <v>239</v>
      </c>
      <c r="J2" s="151" t="s">
        <v>96</v>
      </c>
      <c r="K2" s="189" t="s">
        <v>240</v>
      </c>
      <c r="L2" s="151" t="s">
        <v>97</v>
      </c>
      <c r="M2" s="189" t="s">
        <v>237</v>
      </c>
      <c r="N2" s="151" t="s">
        <v>98</v>
      </c>
    </row>
    <row r="3" spans="1:27">
      <c r="A3" s="53">
        <v>1</v>
      </c>
      <c r="B3" s="175" t="s">
        <v>55</v>
      </c>
      <c r="C3" s="176" t="s">
        <v>103</v>
      </c>
      <c r="D3" s="55" t="s">
        <v>99</v>
      </c>
      <c r="E3" s="180"/>
      <c r="F3" s="181"/>
      <c r="G3" s="181"/>
      <c r="H3" s="181" t="s">
        <v>256</v>
      </c>
      <c r="I3" s="188">
        <v>6014</v>
      </c>
      <c r="J3" s="56">
        <v>8327586</v>
      </c>
      <c r="K3" s="188">
        <v>9350</v>
      </c>
      <c r="L3" s="56">
        <v>11639020</v>
      </c>
      <c r="M3" s="191">
        <v>9984</v>
      </c>
      <c r="N3" s="181">
        <v>12988199.199999999</v>
      </c>
    </row>
    <row r="4" spans="1:27">
      <c r="A4" s="53">
        <v>2</v>
      </c>
      <c r="B4" s="175" t="s">
        <v>55</v>
      </c>
      <c r="C4" s="177" t="s">
        <v>57</v>
      </c>
      <c r="D4" s="55" t="s">
        <v>100</v>
      </c>
      <c r="E4" s="180"/>
      <c r="F4" s="181"/>
      <c r="G4" s="181"/>
      <c r="H4" s="181" t="s">
        <v>256</v>
      </c>
      <c r="I4" s="188"/>
      <c r="J4" s="56"/>
      <c r="K4" s="188">
        <v>919</v>
      </c>
      <c r="L4" s="56">
        <v>81791</v>
      </c>
      <c r="M4" s="191">
        <v>974</v>
      </c>
      <c r="N4" s="181">
        <v>165580</v>
      </c>
      <c r="Q4" s="65" t="s">
        <v>55</v>
      </c>
      <c r="R4" s="65" t="s">
        <v>58</v>
      </c>
      <c r="S4" s="65" t="s">
        <v>67</v>
      </c>
      <c r="T4" s="65" t="s">
        <v>94</v>
      </c>
      <c r="U4" s="65" t="s">
        <v>89</v>
      </c>
      <c r="V4" s="65" t="s">
        <v>72</v>
      </c>
      <c r="W4" s="65" t="s">
        <v>83</v>
      </c>
      <c r="X4" s="64" t="s">
        <v>78</v>
      </c>
      <c r="Y4" s="65" t="s">
        <v>76</v>
      </c>
      <c r="Z4" s="63" t="s">
        <v>244</v>
      </c>
      <c r="AA4" s="63" t="s">
        <v>245</v>
      </c>
    </row>
    <row r="5" spans="1:27" ht="30">
      <c r="A5" s="53">
        <v>3</v>
      </c>
      <c r="B5" s="175" t="s">
        <v>55</v>
      </c>
      <c r="C5" s="178" t="s">
        <v>101</v>
      </c>
      <c r="D5" s="55" t="s">
        <v>102</v>
      </c>
      <c r="E5" s="180"/>
      <c r="F5" s="181"/>
      <c r="G5" s="181"/>
      <c r="H5" s="181" t="s">
        <v>256</v>
      </c>
      <c r="I5" s="188">
        <v>4000</v>
      </c>
      <c r="J5" s="56">
        <v>1600000</v>
      </c>
      <c r="K5" s="188">
        <v>3471.89</v>
      </c>
      <c r="L5" s="56">
        <v>1805383</v>
      </c>
      <c r="M5" s="191"/>
      <c r="N5" s="181">
        <v>1265000</v>
      </c>
      <c r="Q5" s="54" t="s">
        <v>103</v>
      </c>
      <c r="R5" s="60" t="s">
        <v>63</v>
      </c>
      <c r="S5" s="60" t="s">
        <v>68</v>
      </c>
      <c r="T5" s="60" t="s">
        <v>104</v>
      </c>
      <c r="U5" s="60" t="s">
        <v>105</v>
      </c>
      <c r="V5" s="60" t="s">
        <v>73</v>
      </c>
      <c r="W5" s="60" t="s">
        <v>106</v>
      </c>
      <c r="X5" s="60" t="s">
        <v>91</v>
      </c>
      <c r="Y5" s="60" t="s">
        <v>107</v>
      </c>
      <c r="Z5" s="60" t="s">
        <v>75</v>
      </c>
      <c r="AA5" s="60" t="s">
        <v>246</v>
      </c>
    </row>
    <row r="6" spans="1:27" ht="30">
      <c r="A6" s="53">
        <v>4</v>
      </c>
      <c r="B6" s="175" t="s">
        <v>55</v>
      </c>
      <c r="C6" s="178" t="s">
        <v>56</v>
      </c>
      <c r="D6" s="55" t="s">
        <v>99</v>
      </c>
      <c r="E6" s="180"/>
      <c r="F6" s="181"/>
      <c r="G6" s="181"/>
      <c r="H6" s="181" t="s">
        <v>256</v>
      </c>
      <c r="I6" s="188"/>
      <c r="J6" s="56"/>
      <c r="K6" s="188">
        <v>8102</v>
      </c>
      <c r="L6" s="56">
        <v>1620400</v>
      </c>
      <c r="M6" s="191"/>
      <c r="N6" s="181">
        <v>1982200</v>
      </c>
      <c r="Q6" s="60" t="s">
        <v>57</v>
      </c>
      <c r="R6" s="60" t="s">
        <v>59</v>
      </c>
      <c r="S6" s="58" t="s">
        <v>108</v>
      </c>
      <c r="T6" s="62"/>
      <c r="U6" s="62"/>
      <c r="V6" s="60" t="s">
        <v>109</v>
      </c>
      <c r="W6" s="60" t="s">
        <v>85</v>
      </c>
      <c r="X6" s="60" t="s">
        <v>110</v>
      </c>
      <c r="Y6" s="60" t="s">
        <v>93</v>
      </c>
      <c r="Z6" s="62"/>
      <c r="AA6" s="60" t="s">
        <v>221</v>
      </c>
    </row>
    <row r="7" spans="1:27" ht="60">
      <c r="A7" s="53">
        <v>5</v>
      </c>
      <c r="B7" s="175" t="s">
        <v>58</v>
      </c>
      <c r="C7" s="177" t="s">
        <v>63</v>
      </c>
      <c r="D7" s="55" t="s">
        <v>102</v>
      </c>
      <c r="E7" s="180"/>
      <c r="F7" s="181"/>
      <c r="G7" s="181"/>
      <c r="H7" s="181" t="s">
        <v>256</v>
      </c>
      <c r="I7" s="188"/>
      <c r="J7" s="56">
        <v>636414</v>
      </c>
      <c r="K7" s="188">
        <v>251.53</v>
      </c>
      <c r="L7" s="56">
        <v>2324635.23</v>
      </c>
      <c r="M7" s="191"/>
      <c r="N7" s="181">
        <v>2340814.5942250001</v>
      </c>
      <c r="Q7" s="54" t="s">
        <v>111</v>
      </c>
      <c r="R7" s="60" t="s">
        <v>112</v>
      </c>
      <c r="S7" s="60" t="s">
        <v>113</v>
      </c>
      <c r="T7" s="62"/>
      <c r="U7" s="62"/>
      <c r="V7" s="60" t="s">
        <v>114</v>
      </c>
      <c r="W7" s="60" t="s">
        <v>115</v>
      </c>
      <c r="X7" s="60" t="s">
        <v>116</v>
      </c>
      <c r="Y7" s="60" t="s">
        <v>92</v>
      </c>
      <c r="Z7" s="62"/>
      <c r="AA7" s="60" t="s">
        <v>222</v>
      </c>
    </row>
    <row r="8" spans="1:27" ht="30">
      <c r="A8" s="53">
        <v>6</v>
      </c>
      <c r="B8" s="175" t="s">
        <v>58</v>
      </c>
      <c r="C8" s="177" t="s">
        <v>59</v>
      </c>
      <c r="D8" s="55" t="s">
        <v>102</v>
      </c>
      <c r="E8" s="180"/>
      <c r="F8" s="181"/>
      <c r="G8" s="181"/>
      <c r="H8" s="181" t="s">
        <v>256</v>
      </c>
      <c r="I8" s="188"/>
      <c r="J8" s="56"/>
      <c r="K8" s="188"/>
      <c r="L8" s="56">
        <v>102875</v>
      </c>
      <c r="M8" s="191"/>
      <c r="N8" s="181">
        <v>474026.58186000003</v>
      </c>
      <c r="Q8" s="54" t="s">
        <v>56</v>
      </c>
      <c r="R8" s="60" t="s">
        <v>66</v>
      </c>
      <c r="S8" s="60" t="s">
        <v>117</v>
      </c>
      <c r="T8" s="62"/>
      <c r="U8" s="62"/>
      <c r="V8" s="62"/>
      <c r="W8" s="60" t="s">
        <v>118</v>
      </c>
      <c r="X8" s="60" t="s">
        <v>119</v>
      </c>
      <c r="Y8" s="60" t="s">
        <v>120</v>
      </c>
      <c r="Z8" s="62"/>
      <c r="AA8" s="60" t="s">
        <v>223</v>
      </c>
    </row>
    <row r="9" spans="1:27" ht="30">
      <c r="A9" s="53">
        <v>7</v>
      </c>
      <c r="B9" s="175" t="s">
        <v>58</v>
      </c>
      <c r="C9" s="177" t="s">
        <v>112</v>
      </c>
      <c r="D9" s="55" t="s">
        <v>102</v>
      </c>
      <c r="E9" s="180"/>
      <c r="F9" s="181"/>
      <c r="G9" s="181"/>
      <c r="H9" s="181" t="s">
        <v>256</v>
      </c>
      <c r="I9" s="188">
        <v>1620.3</v>
      </c>
      <c r="J9" s="56">
        <v>21371380.09</v>
      </c>
      <c r="K9" s="188">
        <v>2940.56</v>
      </c>
      <c r="L9" s="56">
        <v>36851320.549999997</v>
      </c>
      <c r="M9" s="191"/>
      <c r="N9" s="181">
        <v>48973586.324508294</v>
      </c>
      <c r="Q9" s="62"/>
      <c r="R9" s="60" t="s">
        <v>65</v>
      </c>
      <c r="S9" s="60" t="s">
        <v>121</v>
      </c>
      <c r="T9" s="62"/>
      <c r="U9" s="62"/>
      <c r="V9" s="62"/>
      <c r="W9" s="60" t="s">
        <v>122</v>
      </c>
      <c r="X9" s="60" t="s">
        <v>123</v>
      </c>
      <c r="Y9" s="62"/>
      <c r="Z9" s="62"/>
      <c r="AA9" s="60" t="s">
        <v>247</v>
      </c>
    </row>
    <row r="10" spans="1:27" ht="45">
      <c r="A10" s="53">
        <v>8</v>
      </c>
      <c r="B10" s="175" t="s">
        <v>58</v>
      </c>
      <c r="C10" s="177" t="s">
        <v>66</v>
      </c>
      <c r="D10" s="55" t="s">
        <v>102</v>
      </c>
      <c r="E10" s="180"/>
      <c r="F10" s="181"/>
      <c r="G10" s="181"/>
      <c r="H10" s="181" t="s">
        <v>256</v>
      </c>
      <c r="I10" s="188">
        <v>5449.2</v>
      </c>
      <c r="J10" s="56">
        <v>59667427.950000003</v>
      </c>
      <c r="K10" s="188">
        <v>6900.22</v>
      </c>
      <c r="L10" s="56">
        <v>76111076.950000003</v>
      </c>
      <c r="M10" s="191">
        <v>889</v>
      </c>
      <c r="N10" s="181">
        <v>119305369.87700349</v>
      </c>
      <c r="Q10" s="62"/>
      <c r="R10" s="60" t="s">
        <v>60</v>
      </c>
      <c r="S10" s="58" t="s">
        <v>124</v>
      </c>
      <c r="T10" s="62"/>
      <c r="U10" s="62"/>
      <c r="V10" s="62"/>
      <c r="W10" s="60" t="s">
        <v>84</v>
      </c>
      <c r="X10" s="60" t="s">
        <v>125</v>
      </c>
      <c r="Y10" s="62"/>
      <c r="Z10" s="62"/>
      <c r="AA10" s="60" t="s">
        <v>225</v>
      </c>
    </row>
    <row r="11" spans="1:27" ht="45">
      <c r="A11" s="53">
        <v>9</v>
      </c>
      <c r="B11" s="175" t="s">
        <v>58</v>
      </c>
      <c r="C11" s="177" t="s">
        <v>65</v>
      </c>
      <c r="D11" s="55" t="s">
        <v>102</v>
      </c>
      <c r="E11" s="180"/>
      <c r="F11" s="181"/>
      <c r="G11" s="181"/>
      <c r="H11" s="181" t="s">
        <v>256</v>
      </c>
      <c r="I11" s="188">
        <v>104.7</v>
      </c>
      <c r="J11" s="56">
        <v>1577752</v>
      </c>
      <c r="K11" s="188">
        <v>114.68</v>
      </c>
      <c r="L11" s="56">
        <v>1115564.04</v>
      </c>
      <c r="M11" s="191"/>
      <c r="N11" s="181">
        <v>2912206.391999525</v>
      </c>
      <c r="Q11" s="62"/>
      <c r="R11" s="60" t="s">
        <v>126</v>
      </c>
      <c r="S11" s="60" t="s">
        <v>71</v>
      </c>
      <c r="T11" s="62"/>
      <c r="U11" s="62"/>
      <c r="V11" s="62"/>
      <c r="W11" s="60"/>
      <c r="X11" s="60" t="s">
        <v>127</v>
      </c>
      <c r="Y11" s="62"/>
      <c r="Z11" s="62"/>
      <c r="AA11" s="60" t="s">
        <v>226</v>
      </c>
    </row>
    <row r="12" spans="1:27" ht="45">
      <c r="A12" s="53">
        <v>10</v>
      </c>
      <c r="B12" s="175" t="s">
        <v>58</v>
      </c>
      <c r="C12" s="177" t="s">
        <v>60</v>
      </c>
      <c r="D12" s="55" t="s">
        <v>102</v>
      </c>
      <c r="E12" s="180"/>
      <c r="F12" s="181"/>
      <c r="G12" s="181"/>
      <c r="H12" s="181" t="s">
        <v>256</v>
      </c>
      <c r="I12" s="188">
        <v>98</v>
      </c>
      <c r="J12" s="56">
        <v>14242</v>
      </c>
      <c r="K12" s="188">
        <v>71.3</v>
      </c>
      <c r="L12" s="56">
        <v>437539.58</v>
      </c>
      <c r="M12" s="191"/>
      <c r="N12" s="181">
        <v>530388.34590392793</v>
      </c>
      <c r="Q12" s="62"/>
      <c r="R12" s="60" t="s">
        <v>64</v>
      </c>
      <c r="S12" s="60" t="s">
        <v>86</v>
      </c>
      <c r="T12" s="62"/>
      <c r="U12" s="62"/>
      <c r="V12" s="62"/>
      <c r="W12" s="62"/>
      <c r="X12" s="60" t="s">
        <v>128</v>
      </c>
      <c r="Y12" s="62"/>
      <c r="Z12" s="62"/>
      <c r="AA12" s="60" t="s">
        <v>227</v>
      </c>
    </row>
    <row r="13" spans="1:27" ht="30">
      <c r="A13" s="53">
        <v>11</v>
      </c>
      <c r="B13" s="175" t="s">
        <v>58</v>
      </c>
      <c r="C13" s="177" t="s">
        <v>126</v>
      </c>
      <c r="D13" s="55" t="s">
        <v>102</v>
      </c>
      <c r="E13" s="180"/>
      <c r="F13" s="181"/>
      <c r="G13" s="181"/>
      <c r="H13" s="181" t="s">
        <v>256</v>
      </c>
      <c r="I13" s="188"/>
      <c r="J13" s="56">
        <v>980000</v>
      </c>
      <c r="K13" s="188">
        <v>47.9</v>
      </c>
      <c r="L13" s="56">
        <v>600959.15</v>
      </c>
      <c r="M13" s="191"/>
      <c r="N13" s="181"/>
      <c r="Q13" s="62"/>
      <c r="R13" s="60" t="s">
        <v>129</v>
      </c>
      <c r="S13" s="60" t="s">
        <v>88</v>
      </c>
      <c r="T13" s="62"/>
      <c r="U13" s="62"/>
      <c r="V13" s="62"/>
      <c r="W13" s="62"/>
      <c r="X13" s="60" t="s">
        <v>130</v>
      </c>
      <c r="Y13" s="62"/>
      <c r="Z13" s="62"/>
      <c r="AA13" s="60" t="s">
        <v>228</v>
      </c>
    </row>
    <row r="14" spans="1:27" ht="30">
      <c r="A14" s="53">
        <v>12</v>
      </c>
      <c r="B14" s="175" t="s">
        <v>58</v>
      </c>
      <c r="C14" s="177" t="s">
        <v>64</v>
      </c>
      <c r="D14" s="55" t="s">
        <v>102</v>
      </c>
      <c r="E14" s="180"/>
      <c r="F14" s="181"/>
      <c r="G14" s="181"/>
      <c r="H14" s="181" t="s">
        <v>256</v>
      </c>
      <c r="I14" s="188"/>
      <c r="J14" s="56">
        <v>704177.48</v>
      </c>
      <c r="K14" s="188"/>
      <c r="L14" s="56"/>
      <c r="M14" s="191"/>
      <c r="N14" s="181">
        <v>1451731.8132515</v>
      </c>
      <c r="Q14" s="62"/>
      <c r="R14" s="60" t="s">
        <v>131</v>
      </c>
      <c r="S14" s="60" t="s">
        <v>69</v>
      </c>
      <c r="T14" s="62"/>
      <c r="U14" s="62"/>
      <c r="V14" s="62"/>
      <c r="W14" s="62"/>
      <c r="X14" s="60" t="s">
        <v>82</v>
      </c>
      <c r="Y14" s="62"/>
      <c r="Z14" s="62"/>
      <c r="AA14" s="60" t="s">
        <v>229</v>
      </c>
    </row>
    <row r="15" spans="1:27" ht="30">
      <c r="A15" s="53">
        <v>13</v>
      </c>
      <c r="B15" s="175" t="s">
        <v>58</v>
      </c>
      <c r="C15" s="177" t="s">
        <v>129</v>
      </c>
      <c r="D15" s="55" t="s">
        <v>132</v>
      </c>
      <c r="E15" s="180"/>
      <c r="F15" s="181"/>
      <c r="G15" s="181"/>
      <c r="H15" s="181" t="s">
        <v>256</v>
      </c>
      <c r="I15" s="188"/>
      <c r="J15" s="56"/>
      <c r="K15" s="188"/>
      <c r="L15" s="56"/>
      <c r="M15" s="191"/>
      <c r="N15" s="181">
        <v>589789.30000000005</v>
      </c>
      <c r="Q15" s="62"/>
      <c r="R15" s="60" t="s">
        <v>133</v>
      </c>
      <c r="S15" s="60" t="s">
        <v>70</v>
      </c>
      <c r="T15" s="62"/>
      <c r="U15" s="62"/>
      <c r="V15" s="62"/>
      <c r="W15" s="62"/>
      <c r="X15" s="60" t="s">
        <v>81</v>
      </c>
      <c r="Y15" s="62"/>
      <c r="Z15" s="62"/>
      <c r="AA15" s="60" t="s">
        <v>248</v>
      </c>
    </row>
    <row r="16" spans="1:27" ht="30">
      <c r="A16" s="53">
        <v>14</v>
      </c>
      <c r="B16" s="175" t="s">
        <v>58</v>
      </c>
      <c r="C16" s="177" t="s">
        <v>131</v>
      </c>
      <c r="D16" s="55" t="s">
        <v>134</v>
      </c>
      <c r="E16" s="180"/>
      <c r="F16" s="181"/>
      <c r="G16" s="181"/>
      <c r="H16" s="181" t="s">
        <v>256</v>
      </c>
      <c r="I16" s="188"/>
      <c r="J16" s="56"/>
      <c r="K16" s="188"/>
      <c r="L16" s="56"/>
      <c r="M16" s="191"/>
      <c r="N16" s="181">
        <v>49188.36666</v>
      </c>
      <c r="Q16" s="62"/>
      <c r="R16" s="60" t="s">
        <v>61</v>
      </c>
      <c r="S16" s="60" t="s">
        <v>87</v>
      </c>
      <c r="T16" s="62"/>
      <c r="U16" s="62"/>
      <c r="V16" s="62"/>
      <c r="W16" s="62"/>
      <c r="X16" s="60" t="s">
        <v>135</v>
      </c>
      <c r="Y16" s="62"/>
      <c r="Z16" s="62"/>
      <c r="AA16" s="60" t="s">
        <v>249</v>
      </c>
    </row>
    <row r="17" spans="1:27" ht="45">
      <c r="A17" s="53">
        <v>15</v>
      </c>
      <c r="B17" s="175" t="s">
        <v>58</v>
      </c>
      <c r="C17" s="177" t="s">
        <v>136</v>
      </c>
      <c r="D17" s="55" t="s">
        <v>102</v>
      </c>
      <c r="E17" s="180"/>
      <c r="F17" s="181"/>
      <c r="G17" s="181"/>
      <c r="H17" s="181" t="s">
        <v>256</v>
      </c>
      <c r="I17" s="188">
        <v>5.9</v>
      </c>
      <c r="J17" s="56">
        <v>499458</v>
      </c>
      <c r="K17" s="188"/>
      <c r="L17" s="56"/>
      <c r="M17" s="191"/>
      <c r="N17" s="181">
        <v>89853.363599999997</v>
      </c>
      <c r="Q17" s="62"/>
      <c r="R17" s="60" t="s">
        <v>62</v>
      </c>
      <c r="S17" s="60" t="s">
        <v>137</v>
      </c>
      <c r="T17" s="62"/>
      <c r="U17" s="62"/>
      <c r="V17" s="62"/>
      <c r="W17" s="62"/>
      <c r="X17" s="60" t="s">
        <v>138</v>
      </c>
      <c r="Y17" s="62"/>
      <c r="Z17" s="62"/>
      <c r="AA17" s="60" t="s">
        <v>233</v>
      </c>
    </row>
    <row r="18" spans="1:27" ht="30">
      <c r="A18" s="53">
        <v>16</v>
      </c>
      <c r="B18" s="175" t="s">
        <v>58</v>
      </c>
      <c r="C18" s="177" t="s">
        <v>61</v>
      </c>
      <c r="D18" s="55" t="s">
        <v>102</v>
      </c>
      <c r="E18" s="180"/>
      <c r="F18" s="181"/>
      <c r="G18" s="181"/>
      <c r="H18" s="181" t="s">
        <v>256</v>
      </c>
      <c r="I18" s="188">
        <v>507.2</v>
      </c>
      <c r="J18" s="56">
        <v>4602973.75</v>
      </c>
      <c r="K18" s="188">
        <v>752.8</v>
      </c>
      <c r="L18" s="56">
        <v>5728815.5300000003</v>
      </c>
      <c r="M18" s="191"/>
      <c r="N18" s="181">
        <v>9852457.7221609987</v>
      </c>
      <c r="Q18" s="62"/>
      <c r="R18" s="60" t="s">
        <v>139</v>
      </c>
      <c r="S18" s="60" t="s">
        <v>140</v>
      </c>
      <c r="T18" s="62"/>
      <c r="U18" s="62"/>
      <c r="V18" s="62"/>
      <c r="W18" s="62"/>
      <c r="X18" s="60" t="s">
        <v>141</v>
      </c>
      <c r="Y18" s="62"/>
      <c r="Z18" s="62"/>
      <c r="AA18" s="60" t="s">
        <v>232</v>
      </c>
    </row>
    <row r="19" spans="1:27" ht="30">
      <c r="A19" s="53">
        <v>17</v>
      </c>
      <c r="B19" s="175" t="s">
        <v>58</v>
      </c>
      <c r="C19" s="177" t="s">
        <v>62</v>
      </c>
      <c r="D19" s="55" t="s">
        <v>142</v>
      </c>
      <c r="E19" s="180"/>
      <c r="F19" s="181"/>
      <c r="G19" s="181"/>
      <c r="H19" s="181" t="s">
        <v>256</v>
      </c>
      <c r="I19" s="188">
        <v>15.3</v>
      </c>
      <c r="J19" s="56">
        <v>200000</v>
      </c>
      <c r="K19" s="188">
        <v>11.35</v>
      </c>
      <c r="L19" s="56">
        <v>1704054.72</v>
      </c>
      <c r="M19" s="191"/>
      <c r="N19" s="181">
        <v>363376.80112000002</v>
      </c>
      <c r="Q19" s="62"/>
      <c r="R19" s="62"/>
      <c r="S19" s="62"/>
      <c r="T19" s="62"/>
      <c r="U19" s="62"/>
      <c r="V19" s="62"/>
      <c r="W19" s="62"/>
      <c r="X19" s="60" t="s">
        <v>143</v>
      </c>
      <c r="Y19" s="62"/>
      <c r="Z19" s="62"/>
      <c r="AA19" s="62"/>
    </row>
    <row r="20" spans="1:27">
      <c r="A20" s="53">
        <v>18</v>
      </c>
      <c r="B20" s="175" t="s">
        <v>58</v>
      </c>
      <c r="C20" s="177" t="s">
        <v>74</v>
      </c>
      <c r="D20" s="55" t="s">
        <v>102</v>
      </c>
      <c r="E20" s="180"/>
      <c r="F20" s="181"/>
      <c r="G20" s="181"/>
      <c r="H20" s="181" t="s">
        <v>256</v>
      </c>
      <c r="I20" s="188"/>
      <c r="J20" s="56"/>
      <c r="K20" s="188"/>
      <c r="L20" s="56">
        <v>55791.1</v>
      </c>
      <c r="M20" s="191"/>
      <c r="N20" s="181">
        <v>104275.61129</v>
      </c>
      <c r="Q20" s="62"/>
      <c r="R20" s="62"/>
      <c r="S20" s="62"/>
      <c r="T20" s="62"/>
      <c r="U20" s="62"/>
      <c r="V20" s="62"/>
      <c r="W20" s="62"/>
      <c r="X20" s="60" t="s">
        <v>144</v>
      </c>
      <c r="Y20" s="62"/>
      <c r="Z20" s="62"/>
      <c r="AA20" s="62"/>
    </row>
    <row r="21" spans="1:27" s="385" customFormat="1" ht="30">
      <c r="A21" s="378">
        <v>19</v>
      </c>
      <c r="B21" s="379" t="s">
        <v>67</v>
      </c>
      <c r="C21" s="380" t="s">
        <v>68</v>
      </c>
      <c r="D21" s="381" t="s">
        <v>102</v>
      </c>
      <c r="E21" s="381"/>
      <c r="F21" s="382"/>
      <c r="G21" s="383"/>
      <c r="H21" s="383" t="s">
        <v>256</v>
      </c>
      <c r="I21" s="384"/>
      <c r="J21" s="383">
        <v>1081000</v>
      </c>
      <c r="K21" s="384">
        <v>1798.74</v>
      </c>
      <c r="L21" s="383">
        <v>3771867.84</v>
      </c>
      <c r="M21" s="384"/>
      <c r="N21" s="383">
        <v>695299.02593230002</v>
      </c>
      <c r="Q21" s="386"/>
      <c r="R21" s="386"/>
      <c r="S21" s="386"/>
      <c r="T21" s="386"/>
      <c r="U21" s="386"/>
      <c r="V21" s="386"/>
      <c r="W21" s="386"/>
      <c r="X21" s="380" t="s">
        <v>145</v>
      </c>
      <c r="Y21" s="386"/>
      <c r="Z21" s="386"/>
      <c r="AA21" s="386"/>
    </row>
    <row r="22" spans="1:27" ht="30">
      <c r="A22" s="53">
        <v>20</v>
      </c>
      <c r="B22" s="175" t="s">
        <v>67</v>
      </c>
      <c r="C22" s="179" t="s">
        <v>108</v>
      </c>
      <c r="D22" s="57" t="s">
        <v>132</v>
      </c>
      <c r="E22" s="182"/>
      <c r="F22" s="183"/>
      <c r="G22" s="181"/>
      <c r="H22" s="181" t="s">
        <v>256</v>
      </c>
      <c r="I22" s="188">
        <v>3658.9</v>
      </c>
      <c r="J22" s="56">
        <v>5876728.4199999999</v>
      </c>
      <c r="K22" s="188">
        <v>2671.85</v>
      </c>
      <c r="L22" s="56">
        <v>4241588.59</v>
      </c>
      <c r="M22" s="191"/>
      <c r="N22" s="181"/>
      <c r="Q22" s="62"/>
      <c r="R22" s="62"/>
      <c r="S22" s="62"/>
      <c r="T22" s="62"/>
      <c r="U22" s="62"/>
      <c r="V22" s="62"/>
      <c r="W22" s="62"/>
      <c r="X22" s="61" t="s">
        <v>146</v>
      </c>
      <c r="Y22" s="62"/>
      <c r="Z22" s="62"/>
      <c r="AA22" s="62"/>
    </row>
    <row r="23" spans="1:27">
      <c r="A23" s="53">
        <v>21</v>
      </c>
      <c r="B23" s="175" t="s">
        <v>67</v>
      </c>
      <c r="C23" s="177" t="s">
        <v>113</v>
      </c>
      <c r="D23" s="57" t="s">
        <v>132</v>
      </c>
      <c r="E23" s="182"/>
      <c r="F23" s="183"/>
      <c r="G23" s="181"/>
      <c r="H23" s="181" t="s">
        <v>256</v>
      </c>
      <c r="I23" s="188"/>
      <c r="J23" s="56"/>
      <c r="K23" s="188"/>
      <c r="L23" s="56"/>
      <c r="M23" s="191"/>
      <c r="N23" s="181">
        <v>1228678.2</v>
      </c>
      <c r="Q23" s="62"/>
      <c r="R23" s="62"/>
      <c r="S23" s="62"/>
      <c r="T23" s="62"/>
      <c r="U23" s="62"/>
      <c r="V23" s="62"/>
      <c r="W23" s="62"/>
      <c r="X23" s="60" t="s">
        <v>147</v>
      </c>
      <c r="Y23" s="62"/>
      <c r="Z23" s="62"/>
      <c r="AA23" s="62"/>
    </row>
    <row r="24" spans="1:27" ht="45">
      <c r="A24" s="53">
        <v>22</v>
      </c>
      <c r="B24" s="175" t="s">
        <v>67</v>
      </c>
      <c r="C24" s="177" t="s">
        <v>117</v>
      </c>
      <c r="D24" s="57" t="s">
        <v>132</v>
      </c>
      <c r="E24" s="182"/>
      <c r="F24" s="183"/>
      <c r="G24" s="181"/>
      <c r="H24" s="181" t="s">
        <v>256</v>
      </c>
      <c r="I24" s="188"/>
      <c r="J24" s="56"/>
      <c r="K24" s="188"/>
      <c r="L24" s="56"/>
      <c r="M24" s="191"/>
      <c r="N24" s="181">
        <v>20108.988550909999</v>
      </c>
      <c r="Q24" s="62"/>
      <c r="R24" s="62"/>
      <c r="S24" s="62"/>
      <c r="T24" s="62"/>
      <c r="U24" s="62"/>
      <c r="V24" s="62"/>
      <c r="W24" s="62"/>
      <c r="X24" s="60" t="s">
        <v>148</v>
      </c>
      <c r="Y24" s="62"/>
      <c r="Z24" s="62"/>
      <c r="AA24" s="62"/>
    </row>
    <row r="25" spans="1:27">
      <c r="A25" s="53">
        <v>23</v>
      </c>
      <c r="B25" s="175" t="s">
        <v>67</v>
      </c>
      <c r="C25" s="177" t="s">
        <v>121</v>
      </c>
      <c r="D25" s="59" t="s">
        <v>132</v>
      </c>
      <c r="E25" s="184"/>
      <c r="F25" s="183"/>
      <c r="G25" s="181"/>
      <c r="H25" s="181" t="s">
        <v>256</v>
      </c>
      <c r="I25" s="188"/>
      <c r="J25" s="56"/>
      <c r="K25" s="188"/>
      <c r="L25" s="56"/>
      <c r="M25" s="191"/>
      <c r="N25" s="181">
        <v>587029.30000000005</v>
      </c>
      <c r="Q25" s="62"/>
      <c r="R25" s="62"/>
      <c r="S25" s="62"/>
      <c r="T25" s="62"/>
      <c r="U25" s="62"/>
      <c r="V25" s="62"/>
      <c r="W25" s="62"/>
      <c r="X25" s="60" t="s">
        <v>149</v>
      </c>
      <c r="Y25" s="62"/>
      <c r="Z25" s="62"/>
      <c r="AA25" s="62"/>
    </row>
    <row r="26" spans="1:27">
      <c r="A26" s="53">
        <v>24</v>
      </c>
      <c r="B26" s="175" t="s">
        <v>67</v>
      </c>
      <c r="C26" s="179" t="s">
        <v>124</v>
      </c>
      <c r="D26" s="59" t="s">
        <v>132</v>
      </c>
      <c r="E26" s="184"/>
      <c r="F26" s="183"/>
      <c r="G26" s="181"/>
      <c r="H26" s="181" t="s">
        <v>256</v>
      </c>
      <c r="I26" s="188">
        <v>8708.7000000000007</v>
      </c>
      <c r="J26" s="56">
        <v>12129350.800000001</v>
      </c>
      <c r="K26" s="188">
        <v>3206.04</v>
      </c>
      <c r="L26" s="56">
        <v>5345723.54</v>
      </c>
      <c r="M26" s="191"/>
      <c r="N26" s="181"/>
      <c r="Q26" s="62"/>
      <c r="R26" s="62"/>
      <c r="S26" s="62"/>
      <c r="T26" s="62"/>
      <c r="U26" s="62"/>
      <c r="V26" s="62"/>
      <c r="W26" s="62"/>
      <c r="X26" s="60" t="s">
        <v>150</v>
      </c>
      <c r="Y26" s="62"/>
      <c r="Z26" s="62"/>
      <c r="AA26" s="62"/>
    </row>
    <row r="27" spans="1:27">
      <c r="A27" s="53">
        <v>25</v>
      </c>
      <c r="B27" s="175" t="s">
        <v>67</v>
      </c>
      <c r="C27" s="177" t="s">
        <v>71</v>
      </c>
      <c r="D27" s="59" t="s">
        <v>102</v>
      </c>
      <c r="E27" s="184"/>
      <c r="F27" s="185"/>
      <c r="G27" s="181"/>
      <c r="H27" s="181" t="s">
        <v>256</v>
      </c>
      <c r="I27" s="188">
        <v>105.8</v>
      </c>
      <c r="J27" s="56">
        <v>728883</v>
      </c>
      <c r="K27" s="188">
        <v>145.13</v>
      </c>
      <c r="L27" s="56">
        <v>1230782.22</v>
      </c>
      <c r="M27" s="191"/>
      <c r="N27" s="181">
        <v>249760.91073360003</v>
      </c>
      <c r="Q27" s="62"/>
      <c r="R27" s="62"/>
      <c r="S27" s="62"/>
      <c r="T27" s="62"/>
      <c r="U27" s="62"/>
      <c r="V27" s="62"/>
      <c r="W27" s="62"/>
      <c r="X27" s="60" t="s">
        <v>151</v>
      </c>
      <c r="Y27" s="62"/>
      <c r="Z27" s="62"/>
      <c r="AA27" s="62"/>
    </row>
    <row r="28" spans="1:27" ht="30">
      <c r="A28" s="53">
        <v>26</v>
      </c>
      <c r="B28" s="175" t="s">
        <v>67</v>
      </c>
      <c r="C28" s="177" t="s">
        <v>86</v>
      </c>
      <c r="D28" s="59" t="s">
        <v>102</v>
      </c>
      <c r="E28" s="184"/>
      <c r="F28" s="185"/>
      <c r="G28" s="181"/>
      <c r="H28" s="181" t="s">
        <v>256</v>
      </c>
      <c r="I28" s="188"/>
      <c r="J28" s="56"/>
      <c r="K28" s="188">
        <v>1717.15</v>
      </c>
      <c r="L28" s="56">
        <v>10697123.300000001</v>
      </c>
      <c r="M28" s="191"/>
      <c r="N28" s="181">
        <v>365056.96525956003</v>
      </c>
      <c r="Q28" s="62"/>
      <c r="R28" s="62"/>
      <c r="S28" s="62"/>
      <c r="T28" s="62"/>
      <c r="U28" s="62"/>
      <c r="V28" s="62"/>
      <c r="W28" s="62"/>
      <c r="X28" s="60" t="s">
        <v>152</v>
      </c>
      <c r="Y28" s="62"/>
      <c r="Z28" s="62"/>
      <c r="AA28" s="62"/>
    </row>
    <row r="29" spans="1:27">
      <c r="A29" s="53">
        <v>27</v>
      </c>
      <c r="B29" s="175" t="s">
        <v>67</v>
      </c>
      <c r="C29" s="177" t="s">
        <v>88</v>
      </c>
      <c r="D29" s="59" t="s">
        <v>132</v>
      </c>
      <c r="E29" s="184"/>
      <c r="F29" s="185"/>
      <c r="G29" s="181"/>
      <c r="H29" s="181" t="s">
        <v>256</v>
      </c>
      <c r="I29" s="188">
        <v>8575.1</v>
      </c>
      <c r="J29" s="56">
        <v>7346274.6299999999</v>
      </c>
      <c r="K29" s="188">
        <v>10077</v>
      </c>
      <c r="L29" s="56">
        <v>10317638.76</v>
      </c>
      <c r="M29" s="191"/>
      <c r="N29" s="181">
        <v>481742.94702800002</v>
      </c>
      <c r="Q29" s="62"/>
      <c r="R29" s="62"/>
      <c r="S29" s="62"/>
      <c r="T29" s="62"/>
      <c r="U29" s="62"/>
      <c r="V29" s="62"/>
      <c r="W29" s="62"/>
      <c r="X29" s="60" t="s">
        <v>153</v>
      </c>
      <c r="Y29" s="62"/>
      <c r="Z29" s="62"/>
      <c r="AA29" s="62"/>
    </row>
    <row r="30" spans="1:27" ht="30">
      <c r="A30" s="53">
        <v>28</v>
      </c>
      <c r="B30" s="175" t="s">
        <v>67</v>
      </c>
      <c r="C30" s="177" t="s">
        <v>69</v>
      </c>
      <c r="D30" s="57" t="s">
        <v>132</v>
      </c>
      <c r="E30" s="182"/>
      <c r="F30" s="183"/>
      <c r="G30" s="181"/>
      <c r="H30" s="181" t="s">
        <v>256</v>
      </c>
      <c r="I30" s="188"/>
      <c r="J30" s="56">
        <v>56164.43</v>
      </c>
      <c r="K30" s="188">
        <v>11717.61</v>
      </c>
      <c r="L30" s="56">
        <v>12074682.640000001</v>
      </c>
      <c r="M30" s="191"/>
      <c r="N30" s="181">
        <v>682223.01178080007</v>
      </c>
      <c r="Q30" s="62"/>
      <c r="R30" s="62"/>
      <c r="S30" s="62"/>
      <c r="T30" s="62"/>
      <c r="U30" s="62"/>
      <c r="V30" s="62"/>
      <c r="W30" s="62"/>
      <c r="X30" s="60" t="s">
        <v>154</v>
      </c>
      <c r="Y30" s="62"/>
      <c r="Z30" s="62"/>
      <c r="AA30" s="62"/>
    </row>
    <row r="31" spans="1:27" ht="30">
      <c r="A31" s="53">
        <v>29</v>
      </c>
      <c r="B31" s="175" t="s">
        <v>67</v>
      </c>
      <c r="C31" s="177" t="s">
        <v>70</v>
      </c>
      <c r="D31" s="59" t="s">
        <v>132</v>
      </c>
      <c r="E31" s="184"/>
      <c r="F31" s="185"/>
      <c r="G31" s="181"/>
      <c r="H31" s="181" t="s">
        <v>256</v>
      </c>
      <c r="I31" s="188">
        <v>11328</v>
      </c>
      <c r="J31" s="56">
        <v>9978483.5</v>
      </c>
      <c r="K31" s="188">
        <v>4806</v>
      </c>
      <c r="L31" s="56">
        <v>5934477.7599999998</v>
      </c>
      <c r="M31" s="191"/>
      <c r="N31" s="181">
        <v>1618838.8384821902</v>
      </c>
      <c r="Q31" s="62"/>
      <c r="R31" s="62"/>
      <c r="S31" s="62"/>
      <c r="T31" s="62"/>
      <c r="U31" s="62"/>
      <c r="V31" s="62"/>
      <c r="W31" s="62"/>
      <c r="X31" s="60" t="s">
        <v>79</v>
      </c>
      <c r="Y31" s="62"/>
      <c r="Z31" s="62"/>
      <c r="AA31" s="62"/>
    </row>
    <row r="32" spans="1:27" ht="30">
      <c r="A32" s="53">
        <v>30</v>
      </c>
      <c r="B32" s="175" t="s">
        <v>67</v>
      </c>
      <c r="C32" s="177" t="s">
        <v>87</v>
      </c>
      <c r="D32" s="59" t="s">
        <v>132</v>
      </c>
      <c r="E32" s="184"/>
      <c r="F32" s="185"/>
      <c r="G32" s="181"/>
      <c r="H32" s="181" t="s">
        <v>256</v>
      </c>
      <c r="I32" s="188"/>
      <c r="J32" s="56"/>
      <c r="K32" s="188"/>
      <c r="L32" s="56"/>
      <c r="M32" s="191"/>
      <c r="N32" s="181">
        <v>62499.902966200003</v>
      </c>
      <c r="Q32" s="62"/>
      <c r="R32" s="62"/>
      <c r="S32" s="62"/>
      <c r="T32" s="62"/>
      <c r="U32" s="62"/>
      <c r="V32" s="62"/>
      <c r="W32" s="62"/>
      <c r="X32" s="60" t="s">
        <v>155</v>
      </c>
      <c r="Y32" s="62"/>
      <c r="Z32" s="62"/>
      <c r="AA32" s="62"/>
    </row>
    <row r="33" spans="1:27">
      <c r="A33" s="53">
        <v>31</v>
      </c>
      <c r="B33" s="175" t="s">
        <v>67</v>
      </c>
      <c r="C33" s="177" t="s">
        <v>137</v>
      </c>
      <c r="D33" s="59" t="s">
        <v>132</v>
      </c>
      <c r="E33" s="184"/>
      <c r="F33" s="185"/>
      <c r="G33" s="181"/>
      <c r="H33" s="181" t="s">
        <v>256</v>
      </c>
      <c r="I33" s="188">
        <v>58.6</v>
      </c>
      <c r="J33" s="56">
        <v>385732.3</v>
      </c>
      <c r="K33" s="188">
        <v>162.94</v>
      </c>
      <c r="L33" s="56">
        <v>1379440.46</v>
      </c>
      <c r="M33" s="191"/>
      <c r="N33" s="181">
        <v>839413.71</v>
      </c>
      <c r="Q33" s="62"/>
      <c r="R33" s="62"/>
      <c r="S33" s="62"/>
      <c r="T33" s="62"/>
      <c r="U33" s="62"/>
      <c r="V33" s="62"/>
      <c r="W33" s="62"/>
      <c r="X33" s="60" t="s">
        <v>156</v>
      </c>
      <c r="Y33" s="66"/>
      <c r="Z33" s="62"/>
      <c r="AA33" s="62"/>
    </row>
    <row r="34" spans="1:27">
      <c r="A34" s="53">
        <v>32</v>
      </c>
      <c r="B34" s="175" t="s">
        <v>67</v>
      </c>
      <c r="C34" s="177" t="s">
        <v>140</v>
      </c>
      <c r="D34" s="57" t="s">
        <v>102</v>
      </c>
      <c r="E34" s="182"/>
      <c r="F34" s="183"/>
      <c r="G34" s="181"/>
      <c r="H34" s="181" t="s">
        <v>256</v>
      </c>
      <c r="I34" s="188">
        <v>111.5</v>
      </c>
      <c r="J34" s="56">
        <v>413875</v>
      </c>
      <c r="K34" s="188">
        <v>160.13</v>
      </c>
      <c r="L34" s="56">
        <v>1630144.06</v>
      </c>
      <c r="M34" s="191"/>
      <c r="N34" s="181">
        <v>1106763.55</v>
      </c>
      <c r="Q34" s="62"/>
      <c r="R34" s="62"/>
      <c r="S34" s="62"/>
      <c r="T34" s="62"/>
      <c r="U34" s="62"/>
      <c r="V34" s="62"/>
      <c r="W34" s="62"/>
      <c r="X34" s="60" t="s">
        <v>157</v>
      </c>
      <c r="Y34" s="62"/>
      <c r="Z34" s="62"/>
      <c r="AA34" s="62"/>
    </row>
    <row r="35" spans="1:27">
      <c r="A35" s="53">
        <v>33</v>
      </c>
      <c r="B35" s="175" t="s">
        <v>94</v>
      </c>
      <c r="C35" s="177" t="s">
        <v>104</v>
      </c>
      <c r="D35" s="55" t="s">
        <v>100</v>
      </c>
      <c r="E35" s="180"/>
      <c r="F35" s="181"/>
      <c r="G35" s="181"/>
      <c r="H35" s="181" t="s">
        <v>256</v>
      </c>
      <c r="I35" s="188">
        <v>950</v>
      </c>
      <c r="J35" s="56">
        <v>10484165</v>
      </c>
      <c r="K35" s="188">
        <v>1140</v>
      </c>
      <c r="L35" s="56">
        <v>13776900</v>
      </c>
      <c r="M35" s="191"/>
      <c r="N35" s="181">
        <v>18449710</v>
      </c>
      <c r="Q35" s="62"/>
      <c r="R35" s="62"/>
      <c r="S35" s="62"/>
      <c r="T35" s="62"/>
      <c r="U35" s="62"/>
      <c r="V35" s="62"/>
      <c r="W35" s="62"/>
      <c r="X35" s="60" t="s">
        <v>158</v>
      </c>
      <c r="Y35" s="62"/>
      <c r="Z35" s="62"/>
      <c r="AA35" s="62"/>
    </row>
    <row r="36" spans="1:27" ht="30">
      <c r="A36" s="53">
        <v>34</v>
      </c>
      <c r="B36" s="175" t="s">
        <v>89</v>
      </c>
      <c r="C36" s="177" t="s">
        <v>90</v>
      </c>
      <c r="D36" s="55" t="s">
        <v>132</v>
      </c>
      <c r="E36" s="180"/>
      <c r="F36" s="181"/>
      <c r="G36" s="181"/>
      <c r="H36" s="181" t="s">
        <v>256</v>
      </c>
      <c r="I36" s="188">
        <v>1206</v>
      </c>
      <c r="J36" s="56">
        <v>4122933.48</v>
      </c>
      <c r="K36" s="188">
        <v>1527.2</v>
      </c>
      <c r="L36" s="56">
        <v>5429075</v>
      </c>
      <c r="M36" s="191"/>
      <c r="N36" s="181">
        <v>726001.89027803997</v>
      </c>
      <c r="Q36" s="62"/>
      <c r="R36" s="62"/>
      <c r="S36" s="62"/>
      <c r="T36" s="62"/>
      <c r="U36" s="62"/>
      <c r="V36" s="62"/>
      <c r="W36" s="62"/>
      <c r="X36" s="60" t="s">
        <v>159</v>
      </c>
      <c r="Y36" s="62"/>
      <c r="Z36" s="62"/>
      <c r="AA36" s="62"/>
    </row>
    <row r="37" spans="1:27">
      <c r="A37" s="53">
        <v>35</v>
      </c>
      <c r="B37" s="175" t="s">
        <v>72</v>
      </c>
      <c r="C37" s="177" t="s">
        <v>73</v>
      </c>
      <c r="D37" s="55" t="s">
        <v>142</v>
      </c>
      <c r="E37" s="180"/>
      <c r="F37" s="183"/>
      <c r="G37" s="181"/>
      <c r="H37" s="181" t="s">
        <v>256</v>
      </c>
      <c r="I37" s="188">
        <v>24.7</v>
      </c>
      <c r="J37" s="56">
        <v>675059.41</v>
      </c>
      <c r="K37" s="188">
        <v>16.600000000000001</v>
      </c>
      <c r="L37" s="56">
        <v>864459.11</v>
      </c>
      <c r="M37" s="191"/>
      <c r="N37" s="181">
        <v>57155.802748000009</v>
      </c>
      <c r="Q37" s="62"/>
      <c r="R37" s="62"/>
      <c r="S37" s="62"/>
      <c r="T37" s="62"/>
      <c r="U37" s="62"/>
      <c r="V37" s="62"/>
      <c r="W37" s="62"/>
      <c r="X37" s="60" t="s">
        <v>160</v>
      </c>
      <c r="Y37" s="62"/>
      <c r="Z37" s="62"/>
      <c r="AA37" s="62"/>
    </row>
    <row r="38" spans="1:27" ht="30">
      <c r="A38" s="53">
        <v>36</v>
      </c>
      <c r="B38" s="175" t="s">
        <v>72</v>
      </c>
      <c r="C38" s="177" t="s">
        <v>109</v>
      </c>
      <c r="D38" s="55" t="s">
        <v>99</v>
      </c>
      <c r="E38" s="180"/>
      <c r="F38" s="181"/>
      <c r="G38" s="181"/>
      <c r="H38" s="181" t="s">
        <v>256</v>
      </c>
      <c r="I38" s="188">
        <v>320</v>
      </c>
      <c r="J38" s="56">
        <v>826440</v>
      </c>
      <c r="K38" s="188">
        <v>1388.8</v>
      </c>
      <c r="L38" s="56">
        <v>5956771.5199999996</v>
      </c>
      <c r="M38" s="191"/>
      <c r="N38" s="181">
        <v>1387111</v>
      </c>
      <c r="Q38" s="62"/>
      <c r="R38" s="62"/>
      <c r="S38" s="62"/>
      <c r="T38" s="62"/>
      <c r="U38" s="62"/>
      <c r="V38" s="62"/>
      <c r="W38" s="62"/>
      <c r="X38" s="60" t="s">
        <v>161</v>
      </c>
      <c r="Y38" s="62"/>
      <c r="Z38" s="62"/>
      <c r="AA38" s="62"/>
    </row>
    <row r="39" spans="1:27">
      <c r="A39" s="53">
        <v>37</v>
      </c>
      <c r="B39" s="175" t="s">
        <v>72</v>
      </c>
      <c r="C39" s="177" t="s">
        <v>114</v>
      </c>
      <c r="D39" s="55" t="s">
        <v>99</v>
      </c>
      <c r="E39" s="180"/>
      <c r="F39" s="181"/>
      <c r="G39" s="181"/>
      <c r="H39" s="181" t="s">
        <v>256</v>
      </c>
      <c r="I39" s="188">
        <v>141</v>
      </c>
      <c r="J39" s="56">
        <v>445250</v>
      </c>
      <c r="K39" s="188">
        <v>238.8</v>
      </c>
      <c r="L39" s="56">
        <v>1196877.02</v>
      </c>
      <c r="M39" s="191"/>
      <c r="N39" s="181">
        <v>1766486</v>
      </c>
      <c r="Q39" s="62"/>
      <c r="R39" s="62"/>
      <c r="S39" s="62"/>
      <c r="T39" s="62"/>
      <c r="U39" s="62"/>
      <c r="V39" s="62"/>
      <c r="W39" s="62"/>
      <c r="X39" s="60" t="s">
        <v>162</v>
      </c>
      <c r="Y39" s="62"/>
      <c r="Z39" s="66"/>
      <c r="AA39" s="66"/>
    </row>
    <row r="40" spans="1:27" ht="30">
      <c r="A40" s="53">
        <v>38</v>
      </c>
      <c r="B40" s="175" t="s">
        <v>72</v>
      </c>
      <c r="C40" s="177" t="s">
        <v>163</v>
      </c>
      <c r="D40" s="55"/>
      <c r="E40" s="180"/>
      <c r="F40" s="181"/>
      <c r="G40" s="181"/>
      <c r="H40" s="181" t="s">
        <v>256</v>
      </c>
      <c r="I40" s="188"/>
      <c r="J40" s="56">
        <v>154798</v>
      </c>
      <c r="K40" s="188"/>
      <c r="L40" s="56">
        <v>250726</v>
      </c>
      <c r="M40" s="191"/>
      <c r="N40" s="181"/>
      <c r="X40" s="67"/>
    </row>
    <row r="41" spans="1:27" ht="30">
      <c r="A41" s="53">
        <v>39</v>
      </c>
      <c r="B41" s="175" t="s">
        <v>72</v>
      </c>
      <c r="C41" s="177" t="s">
        <v>164</v>
      </c>
      <c r="D41" s="55"/>
      <c r="E41" s="180"/>
      <c r="F41" s="181"/>
      <c r="G41" s="181"/>
      <c r="H41" s="181" t="s">
        <v>256</v>
      </c>
      <c r="I41" s="188"/>
      <c r="J41" s="56">
        <v>758735</v>
      </c>
      <c r="K41" s="188"/>
      <c r="L41" s="56"/>
      <c r="M41" s="191"/>
      <c r="N41" s="181"/>
      <c r="X41" s="67"/>
    </row>
    <row r="42" spans="1:27">
      <c r="A42" s="53">
        <v>40</v>
      </c>
      <c r="B42" s="175" t="s">
        <v>83</v>
      </c>
      <c r="C42" s="177" t="s">
        <v>106</v>
      </c>
      <c r="D42" s="55" t="s">
        <v>100</v>
      </c>
      <c r="E42" s="180"/>
      <c r="F42" s="181"/>
      <c r="G42" s="181"/>
      <c r="H42" s="181" t="s">
        <v>256</v>
      </c>
      <c r="I42" s="188">
        <v>324</v>
      </c>
      <c r="J42" s="56">
        <v>4689017</v>
      </c>
      <c r="K42" s="188">
        <v>360</v>
      </c>
      <c r="L42" s="56">
        <v>5826960</v>
      </c>
      <c r="M42" s="191"/>
      <c r="N42" s="181">
        <v>7530000</v>
      </c>
    </row>
    <row r="43" spans="1:27">
      <c r="A43" s="53">
        <v>41</v>
      </c>
      <c r="B43" s="175" t="s">
        <v>83</v>
      </c>
      <c r="C43" s="177" t="s">
        <v>85</v>
      </c>
      <c r="D43" s="55" t="s">
        <v>100</v>
      </c>
      <c r="E43" s="180"/>
      <c r="F43" s="181"/>
      <c r="G43" s="181"/>
      <c r="H43" s="181" t="s">
        <v>256</v>
      </c>
      <c r="I43" s="188">
        <v>324</v>
      </c>
      <c r="J43" s="56">
        <v>699760</v>
      </c>
      <c r="K43" s="188">
        <v>360</v>
      </c>
      <c r="L43" s="56">
        <v>952300.8</v>
      </c>
      <c r="M43" s="191"/>
      <c r="N43" s="181">
        <v>743000</v>
      </c>
    </row>
    <row r="44" spans="1:27">
      <c r="A44" s="53">
        <v>42</v>
      </c>
      <c r="B44" s="175" t="s">
        <v>83</v>
      </c>
      <c r="C44" s="177" t="s">
        <v>115</v>
      </c>
      <c r="D44" s="55" t="s">
        <v>132</v>
      </c>
      <c r="E44" s="180"/>
      <c r="F44" s="181"/>
      <c r="G44" s="181"/>
      <c r="H44" s="181" t="s">
        <v>256</v>
      </c>
      <c r="I44" s="188"/>
      <c r="J44" s="56">
        <v>33545284.100000001</v>
      </c>
      <c r="K44" s="188">
        <v>7086.08</v>
      </c>
      <c r="L44" s="56">
        <v>56286846.600000001</v>
      </c>
      <c r="M44" s="191"/>
      <c r="N44" s="181">
        <v>68342314</v>
      </c>
    </row>
    <row r="45" spans="1:27">
      <c r="A45" s="53">
        <v>43</v>
      </c>
      <c r="B45" s="175" t="s">
        <v>83</v>
      </c>
      <c r="C45" s="177" t="s">
        <v>122</v>
      </c>
      <c r="D45" s="55" t="s">
        <v>100</v>
      </c>
      <c r="E45" s="180"/>
      <c r="F45" s="181"/>
      <c r="G45" s="181"/>
      <c r="H45" s="181" t="s">
        <v>256</v>
      </c>
      <c r="I45" s="188"/>
      <c r="J45" s="56"/>
      <c r="K45" s="188"/>
      <c r="L45" s="56"/>
      <c r="M45" s="191"/>
      <c r="N45" s="181">
        <v>189000</v>
      </c>
    </row>
    <row r="46" spans="1:27">
      <c r="A46" s="53">
        <v>44</v>
      </c>
      <c r="B46" s="175" t="s">
        <v>83</v>
      </c>
      <c r="C46" s="177" t="s">
        <v>84</v>
      </c>
      <c r="D46" s="55" t="s">
        <v>100</v>
      </c>
      <c r="E46" s="180"/>
      <c r="F46" s="181"/>
      <c r="G46" s="181"/>
      <c r="H46" s="181" t="s">
        <v>256</v>
      </c>
      <c r="I46" s="188">
        <v>67</v>
      </c>
      <c r="J46" s="56">
        <v>312364.09999999998</v>
      </c>
      <c r="K46" s="188">
        <v>95</v>
      </c>
      <c r="L46" s="56">
        <v>1242699.75</v>
      </c>
      <c r="M46" s="191"/>
      <c r="N46" s="181">
        <v>214500</v>
      </c>
    </row>
    <row r="47" spans="1:27">
      <c r="A47" s="53">
        <v>45</v>
      </c>
      <c r="B47" s="175" t="s">
        <v>83</v>
      </c>
      <c r="C47" s="177" t="s">
        <v>118</v>
      </c>
      <c r="D47" s="55" t="s">
        <v>132</v>
      </c>
      <c r="E47" s="180"/>
      <c r="F47" s="181"/>
      <c r="G47" s="181"/>
      <c r="H47" s="181" t="s">
        <v>256</v>
      </c>
      <c r="I47" s="188">
        <v>207.1</v>
      </c>
      <c r="J47" s="56">
        <v>510520.25</v>
      </c>
      <c r="K47" s="188">
        <v>804.7</v>
      </c>
      <c r="L47" s="56">
        <v>7919649</v>
      </c>
      <c r="M47" s="191"/>
      <c r="N47" s="181">
        <v>5301450</v>
      </c>
    </row>
    <row r="48" spans="1:27">
      <c r="A48" s="53">
        <v>46</v>
      </c>
      <c r="B48" s="175" t="s">
        <v>78</v>
      </c>
      <c r="C48" s="177" t="s">
        <v>91</v>
      </c>
      <c r="D48" s="55" t="s">
        <v>132</v>
      </c>
      <c r="E48" s="180"/>
      <c r="F48" s="181"/>
      <c r="G48" s="181"/>
      <c r="H48" s="181" t="s">
        <v>256</v>
      </c>
      <c r="I48" s="188"/>
      <c r="J48" s="56">
        <v>7562797.7800000003</v>
      </c>
      <c r="K48" s="188">
        <v>27834</v>
      </c>
      <c r="L48" s="56">
        <v>10100958.6</v>
      </c>
      <c r="M48" s="191"/>
      <c r="N48" s="181">
        <v>690531.04223680007</v>
      </c>
    </row>
    <row r="49" spans="1:14">
      <c r="A49" s="53">
        <v>47</v>
      </c>
      <c r="B49" s="175" t="s">
        <v>78</v>
      </c>
      <c r="C49" s="177" t="s">
        <v>110</v>
      </c>
      <c r="D49" s="55" t="s">
        <v>132</v>
      </c>
      <c r="E49" s="180"/>
      <c r="F49" s="181"/>
      <c r="G49" s="181"/>
      <c r="H49" s="181" t="s">
        <v>256</v>
      </c>
      <c r="I49" s="188"/>
      <c r="J49" s="56"/>
      <c r="K49" s="188">
        <v>27834</v>
      </c>
      <c r="L49" s="56">
        <v>417510</v>
      </c>
      <c r="M49" s="191"/>
      <c r="N49" s="181">
        <v>570738</v>
      </c>
    </row>
    <row r="50" spans="1:14">
      <c r="A50" s="53">
        <v>48</v>
      </c>
      <c r="B50" s="175" t="s">
        <v>78</v>
      </c>
      <c r="C50" s="177" t="s">
        <v>116</v>
      </c>
      <c r="D50" s="55" t="s">
        <v>132</v>
      </c>
      <c r="E50" s="180"/>
      <c r="F50" s="181"/>
      <c r="G50" s="181"/>
      <c r="H50" s="181" t="s">
        <v>256</v>
      </c>
      <c r="I50" s="188"/>
      <c r="J50" s="56"/>
      <c r="K50" s="188">
        <v>293.5</v>
      </c>
      <c r="L50" s="56">
        <v>135861.15</v>
      </c>
      <c r="M50" s="191"/>
      <c r="N50" s="181">
        <v>187161</v>
      </c>
    </row>
    <row r="51" spans="1:14">
      <c r="A51" s="53">
        <v>49</v>
      </c>
      <c r="B51" s="175" t="s">
        <v>78</v>
      </c>
      <c r="C51" s="177" t="s">
        <v>119</v>
      </c>
      <c r="D51" s="55" t="s">
        <v>132</v>
      </c>
      <c r="E51" s="180"/>
      <c r="F51" s="181"/>
      <c r="G51" s="181"/>
      <c r="H51" s="181" t="s">
        <v>256</v>
      </c>
      <c r="I51" s="188"/>
      <c r="J51" s="56">
        <v>5373099.0300000003</v>
      </c>
      <c r="K51" s="188">
        <v>15026.43</v>
      </c>
      <c r="L51" s="56">
        <v>5831886.1200000001</v>
      </c>
      <c r="M51" s="191"/>
      <c r="N51" s="181">
        <v>6333012</v>
      </c>
    </row>
    <row r="52" spans="1:14">
      <c r="A52" s="53">
        <v>50</v>
      </c>
      <c r="B52" s="175" t="s">
        <v>78</v>
      </c>
      <c r="C52" s="177" t="s">
        <v>165</v>
      </c>
      <c r="D52" s="55" t="s">
        <v>132</v>
      </c>
      <c r="E52" s="180"/>
      <c r="F52" s="181"/>
      <c r="G52" s="181"/>
      <c r="H52" s="181" t="s">
        <v>256</v>
      </c>
      <c r="I52" s="188"/>
      <c r="J52" s="56"/>
      <c r="K52" s="188">
        <v>41</v>
      </c>
      <c r="L52" s="56">
        <v>34157.1</v>
      </c>
      <c r="M52" s="191"/>
      <c r="N52" s="181">
        <v>2341059.1</v>
      </c>
    </row>
    <row r="53" spans="1:14">
      <c r="A53" s="53">
        <v>51</v>
      </c>
      <c r="B53" s="175" t="s">
        <v>78</v>
      </c>
      <c r="C53" s="177" t="s">
        <v>125</v>
      </c>
      <c r="D53" s="55" t="s">
        <v>132</v>
      </c>
      <c r="E53" s="180"/>
      <c r="F53" s="181"/>
      <c r="G53" s="181"/>
      <c r="H53" s="181" t="s">
        <v>256</v>
      </c>
      <c r="I53" s="188"/>
      <c r="J53" s="56"/>
      <c r="K53" s="188">
        <v>2119.6</v>
      </c>
      <c r="L53" s="56">
        <v>3008030.34</v>
      </c>
      <c r="M53" s="191"/>
      <c r="N53" s="181"/>
    </row>
    <row r="54" spans="1:14">
      <c r="A54" s="53">
        <v>52</v>
      </c>
      <c r="B54" s="175" t="s">
        <v>78</v>
      </c>
      <c r="C54" s="177" t="s">
        <v>127</v>
      </c>
      <c r="D54" s="55" t="s">
        <v>132</v>
      </c>
      <c r="E54" s="180"/>
      <c r="F54" s="181"/>
      <c r="G54" s="181"/>
      <c r="H54" s="181" t="s">
        <v>256</v>
      </c>
      <c r="I54" s="188"/>
      <c r="J54" s="56"/>
      <c r="K54" s="188">
        <v>1070</v>
      </c>
      <c r="L54" s="56">
        <v>507468.9</v>
      </c>
      <c r="M54" s="191"/>
      <c r="N54" s="181">
        <v>296773.40000000002</v>
      </c>
    </row>
    <row r="55" spans="1:14">
      <c r="A55" s="53">
        <v>53</v>
      </c>
      <c r="B55" s="175" t="s">
        <v>78</v>
      </c>
      <c r="C55" s="177" t="s">
        <v>166</v>
      </c>
      <c r="D55" s="55" t="s">
        <v>132</v>
      </c>
      <c r="E55" s="180"/>
      <c r="F55" s="181"/>
      <c r="G55" s="181"/>
      <c r="H55" s="181" t="s">
        <v>256</v>
      </c>
      <c r="I55" s="188"/>
      <c r="J55" s="56"/>
      <c r="K55" s="188">
        <v>640</v>
      </c>
      <c r="L55" s="56">
        <v>642016</v>
      </c>
      <c r="M55" s="191"/>
      <c r="N55" s="181">
        <v>676880.2</v>
      </c>
    </row>
    <row r="56" spans="1:14">
      <c r="A56" s="53">
        <v>54</v>
      </c>
      <c r="B56" s="175" t="s">
        <v>78</v>
      </c>
      <c r="C56" s="177" t="s">
        <v>130</v>
      </c>
      <c r="D56" s="55" t="s">
        <v>132</v>
      </c>
      <c r="E56" s="180"/>
      <c r="F56" s="181"/>
      <c r="G56" s="181"/>
      <c r="H56" s="181" t="s">
        <v>256</v>
      </c>
      <c r="I56" s="188"/>
      <c r="J56" s="56"/>
      <c r="K56" s="188"/>
      <c r="L56" s="56"/>
      <c r="M56" s="191"/>
      <c r="N56" s="181">
        <v>750170</v>
      </c>
    </row>
    <row r="57" spans="1:14">
      <c r="A57" s="53">
        <v>55</v>
      </c>
      <c r="B57" s="175" t="s">
        <v>78</v>
      </c>
      <c r="C57" s="177" t="s">
        <v>82</v>
      </c>
      <c r="D57" s="55" t="s">
        <v>132</v>
      </c>
      <c r="E57" s="180"/>
      <c r="F57" s="181"/>
      <c r="G57" s="181"/>
      <c r="H57" s="181" t="s">
        <v>256</v>
      </c>
      <c r="I57" s="188"/>
      <c r="J57" s="56"/>
      <c r="K57" s="188">
        <v>1839.67</v>
      </c>
      <c r="L57" s="56">
        <v>1044730.2</v>
      </c>
      <c r="M57" s="191"/>
      <c r="N57" s="181">
        <v>124805.5130304</v>
      </c>
    </row>
    <row r="58" spans="1:14">
      <c r="A58" s="53">
        <v>56</v>
      </c>
      <c r="B58" s="175" t="s">
        <v>78</v>
      </c>
      <c r="C58" s="177" t="s">
        <v>81</v>
      </c>
      <c r="D58" s="55" t="s">
        <v>132</v>
      </c>
      <c r="E58" s="180"/>
      <c r="F58" s="181"/>
      <c r="G58" s="181"/>
      <c r="H58" s="181" t="s">
        <v>256</v>
      </c>
      <c r="I58" s="188"/>
      <c r="J58" s="56"/>
      <c r="K58" s="188"/>
      <c r="L58" s="56"/>
      <c r="M58" s="191"/>
      <c r="N58" s="181">
        <v>342133.82314659999</v>
      </c>
    </row>
    <row r="59" spans="1:14">
      <c r="A59" s="53">
        <v>57</v>
      </c>
      <c r="B59" s="175" t="s">
        <v>78</v>
      </c>
      <c r="C59" s="177" t="s">
        <v>135</v>
      </c>
      <c r="D59" s="55" t="s">
        <v>132</v>
      </c>
      <c r="E59" s="180"/>
      <c r="F59" s="181"/>
      <c r="G59" s="181"/>
      <c r="H59" s="181" t="s">
        <v>256</v>
      </c>
      <c r="I59" s="188"/>
      <c r="J59" s="56"/>
      <c r="K59" s="188"/>
      <c r="L59" s="56"/>
      <c r="M59" s="191"/>
      <c r="N59" s="181">
        <v>7827457.9000000004</v>
      </c>
    </row>
    <row r="60" spans="1:14">
      <c r="A60" s="53">
        <v>58</v>
      </c>
      <c r="B60" s="175" t="s">
        <v>78</v>
      </c>
      <c r="C60" s="177" t="s">
        <v>138</v>
      </c>
      <c r="D60" s="55" t="s">
        <v>132</v>
      </c>
      <c r="E60" s="180"/>
      <c r="F60" s="181"/>
      <c r="G60" s="181"/>
      <c r="H60" s="181" t="s">
        <v>256</v>
      </c>
      <c r="I60" s="188"/>
      <c r="J60" s="56"/>
      <c r="K60" s="188">
        <v>492.1</v>
      </c>
      <c r="L60" s="56">
        <v>1911062.37</v>
      </c>
      <c r="M60" s="191"/>
      <c r="N60" s="181"/>
    </row>
    <row r="61" spans="1:14">
      <c r="A61" s="53">
        <v>59</v>
      </c>
      <c r="B61" s="175" t="s">
        <v>78</v>
      </c>
      <c r="C61" s="177" t="s">
        <v>141</v>
      </c>
      <c r="D61" s="59" t="s">
        <v>132</v>
      </c>
      <c r="E61" s="184"/>
      <c r="F61" s="181"/>
      <c r="G61" s="181"/>
      <c r="H61" s="181" t="s">
        <v>256</v>
      </c>
      <c r="I61" s="188"/>
      <c r="J61" s="56"/>
      <c r="K61" s="188">
        <v>12227.3</v>
      </c>
      <c r="L61" s="56">
        <f>3385372.55+240.5*(F61+G61)</f>
        <v>3385372.55</v>
      </c>
      <c r="M61" s="191"/>
      <c r="N61" s="181">
        <v>23514</v>
      </c>
    </row>
    <row r="62" spans="1:14">
      <c r="A62" s="53">
        <v>60</v>
      </c>
      <c r="B62" s="175" t="s">
        <v>78</v>
      </c>
      <c r="C62" s="177" t="s">
        <v>143</v>
      </c>
      <c r="D62" s="59" t="s">
        <v>132</v>
      </c>
      <c r="E62" s="184"/>
      <c r="F62" s="181"/>
      <c r="G62" s="181"/>
      <c r="H62" s="181" t="s">
        <v>256</v>
      </c>
      <c r="I62" s="188"/>
      <c r="J62" s="56"/>
      <c r="K62" s="188">
        <v>12227.3</v>
      </c>
      <c r="L62" s="56">
        <f>3301371+240.5*(200+G61)</f>
        <v>3349471</v>
      </c>
      <c r="M62" s="191"/>
      <c r="N62" s="181">
        <v>72779</v>
      </c>
    </row>
    <row r="63" spans="1:14">
      <c r="A63" s="53">
        <v>61</v>
      </c>
      <c r="B63" s="175" t="s">
        <v>78</v>
      </c>
      <c r="C63" s="177" t="s">
        <v>144</v>
      </c>
      <c r="D63" s="59" t="s">
        <v>132</v>
      </c>
      <c r="E63" s="184"/>
      <c r="F63" s="181"/>
      <c r="G63" s="181"/>
      <c r="H63" s="181" t="s">
        <v>256</v>
      </c>
      <c r="I63" s="188"/>
      <c r="J63" s="56"/>
      <c r="K63" s="188">
        <v>12227.3</v>
      </c>
      <c r="L63" s="56">
        <f>1124911.6+240.5*(F61+G61)</f>
        <v>1124911.6000000001</v>
      </c>
      <c r="M63" s="191"/>
      <c r="N63" s="181">
        <v>33300</v>
      </c>
    </row>
    <row r="64" spans="1:14">
      <c r="A64" s="53">
        <v>62</v>
      </c>
      <c r="B64" s="175" t="s">
        <v>78</v>
      </c>
      <c r="C64" s="177" t="s">
        <v>145</v>
      </c>
      <c r="D64" s="55" t="s">
        <v>132</v>
      </c>
      <c r="E64" s="180"/>
      <c r="F64" s="181"/>
      <c r="G64" s="181"/>
      <c r="H64" s="181" t="s">
        <v>256</v>
      </c>
      <c r="I64" s="188"/>
      <c r="J64" s="56"/>
      <c r="K64" s="188">
        <v>378.9</v>
      </c>
      <c r="L64" s="56">
        <v>219349</v>
      </c>
      <c r="M64" s="191"/>
      <c r="N64" s="181">
        <v>614946</v>
      </c>
    </row>
    <row r="65" spans="1:14">
      <c r="A65" s="53">
        <v>63</v>
      </c>
      <c r="B65" s="175" t="s">
        <v>78</v>
      </c>
      <c r="C65" s="177" t="s">
        <v>146</v>
      </c>
      <c r="D65" s="59" t="s">
        <v>132</v>
      </c>
      <c r="E65" s="184"/>
      <c r="F65" s="181"/>
      <c r="G65" s="181"/>
      <c r="H65" s="181" t="s">
        <v>256</v>
      </c>
      <c r="I65" s="188"/>
      <c r="J65" s="56"/>
      <c r="K65" s="188"/>
      <c r="L65" s="56"/>
      <c r="M65" s="191"/>
      <c r="N65" s="181">
        <v>328105</v>
      </c>
    </row>
    <row r="66" spans="1:14">
      <c r="A66" s="53">
        <v>64</v>
      </c>
      <c r="B66" s="175" t="s">
        <v>78</v>
      </c>
      <c r="C66" s="177" t="s">
        <v>147</v>
      </c>
      <c r="D66" s="55" t="s">
        <v>132</v>
      </c>
      <c r="E66" s="180"/>
      <c r="F66" s="181"/>
      <c r="G66" s="181"/>
      <c r="H66" s="181" t="s">
        <v>256</v>
      </c>
      <c r="I66" s="188"/>
      <c r="J66" s="56"/>
      <c r="K66" s="188">
        <v>85</v>
      </c>
      <c r="L66" s="56">
        <v>67496</v>
      </c>
      <c r="M66" s="191"/>
      <c r="N66" s="181">
        <v>653939</v>
      </c>
    </row>
    <row r="67" spans="1:14">
      <c r="A67" s="53">
        <v>65</v>
      </c>
      <c r="B67" s="175" t="s">
        <v>78</v>
      </c>
      <c r="C67" s="177" t="s">
        <v>148</v>
      </c>
      <c r="D67" s="55" t="s">
        <v>132</v>
      </c>
      <c r="E67" s="180"/>
      <c r="F67" s="181"/>
      <c r="G67" s="181"/>
      <c r="H67" s="181" t="s">
        <v>256</v>
      </c>
      <c r="I67" s="188"/>
      <c r="J67" s="56"/>
      <c r="K67" s="188"/>
      <c r="L67" s="56"/>
      <c r="M67" s="191"/>
      <c r="N67" s="181">
        <v>1893854</v>
      </c>
    </row>
    <row r="68" spans="1:14">
      <c r="A68" s="53">
        <v>66</v>
      </c>
      <c r="B68" s="175" t="s">
        <v>78</v>
      </c>
      <c r="C68" s="177" t="s">
        <v>149</v>
      </c>
      <c r="D68" s="55" t="s">
        <v>99</v>
      </c>
      <c r="E68" s="180"/>
      <c r="F68" s="181"/>
      <c r="G68" s="181"/>
      <c r="H68" s="181" t="s">
        <v>256</v>
      </c>
      <c r="I68" s="188"/>
      <c r="J68" s="56"/>
      <c r="K68" s="188">
        <v>94.5</v>
      </c>
      <c r="L68" s="56">
        <v>216112</v>
      </c>
      <c r="M68" s="191"/>
      <c r="N68" s="181">
        <v>5044446</v>
      </c>
    </row>
    <row r="69" spans="1:14">
      <c r="A69" s="53">
        <v>67</v>
      </c>
      <c r="B69" s="175" t="s">
        <v>78</v>
      </c>
      <c r="C69" s="177" t="s">
        <v>150</v>
      </c>
      <c r="D69" s="55" t="s">
        <v>132</v>
      </c>
      <c r="E69" s="180"/>
      <c r="F69" s="181"/>
      <c r="G69" s="181"/>
      <c r="H69" s="181" t="s">
        <v>256</v>
      </c>
      <c r="I69" s="188"/>
      <c r="J69" s="56"/>
      <c r="K69" s="188"/>
      <c r="L69" s="56"/>
      <c r="M69" s="191"/>
      <c r="N69" s="181">
        <v>10700</v>
      </c>
    </row>
    <row r="70" spans="1:14">
      <c r="A70" s="53">
        <v>68</v>
      </c>
      <c r="B70" s="175" t="s">
        <v>78</v>
      </c>
      <c r="C70" s="177" t="s">
        <v>151</v>
      </c>
      <c r="D70" s="55" t="s">
        <v>132</v>
      </c>
      <c r="E70" s="180"/>
      <c r="F70" s="181"/>
      <c r="G70" s="181"/>
      <c r="H70" s="181" t="s">
        <v>256</v>
      </c>
      <c r="I70" s="188"/>
      <c r="J70" s="56"/>
      <c r="K70" s="188">
        <v>769.07</v>
      </c>
      <c r="L70" s="56">
        <v>360224</v>
      </c>
      <c r="M70" s="191"/>
      <c r="N70" s="181">
        <v>1130591</v>
      </c>
    </row>
    <row r="71" spans="1:14">
      <c r="A71" s="53">
        <v>69</v>
      </c>
      <c r="B71" s="175" t="s">
        <v>78</v>
      </c>
      <c r="C71" s="177" t="s">
        <v>152</v>
      </c>
      <c r="D71" s="55" t="s">
        <v>132</v>
      </c>
      <c r="E71" s="180"/>
      <c r="F71" s="181"/>
      <c r="G71" s="181"/>
      <c r="H71" s="181" t="s">
        <v>256</v>
      </c>
      <c r="I71" s="188"/>
      <c r="J71" s="56"/>
      <c r="K71" s="188">
        <v>4919.76</v>
      </c>
      <c r="L71" s="56">
        <v>1254047</v>
      </c>
      <c r="M71" s="191"/>
      <c r="N71" s="181">
        <v>1118780</v>
      </c>
    </row>
    <row r="72" spans="1:14">
      <c r="A72" s="53">
        <v>70</v>
      </c>
      <c r="B72" s="175" t="s">
        <v>78</v>
      </c>
      <c r="C72" s="177" t="s">
        <v>153</v>
      </c>
      <c r="D72" s="55" t="s">
        <v>132</v>
      </c>
      <c r="E72" s="180"/>
      <c r="F72" s="181"/>
      <c r="G72" s="181"/>
      <c r="H72" s="181" t="s">
        <v>256</v>
      </c>
      <c r="I72" s="188"/>
      <c r="J72" s="56"/>
      <c r="K72" s="188">
        <v>111.2</v>
      </c>
      <c r="L72" s="56">
        <v>64317</v>
      </c>
      <c r="M72" s="191"/>
      <c r="N72" s="181">
        <v>685599</v>
      </c>
    </row>
    <row r="73" spans="1:14">
      <c r="A73" s="53">
        <v>71</v>
      </c>
      <c r="B73" s="175" t="s">
        <v>78</v>
      </c>
      <c r="C73" s="177" t="s">
        <v>154</v>
      </c>
      <c r="D73" s="55" t="s">
        <v>132</v>
      </c>
      <c r="E73" s="180"/>
      <c r="F73" s="181"/>
      <c r="G73" s="181"/>
      <c r="H73" s="181" t="s">
        <v>256</v>
      </c>
      <c r="I73" s="188"/>
      <c r="J73" s="56"/>
      <c r="K73" s="188">
        <v>4094</v>
      </c>
      <c r="L73" s="56">
        <v>6599957</v>
      </c>
      <c r="M73" s="191"/>
      <c r="N73" s="181"/>
    </row>
    <row r="74" spans="1:14">
      <c r="A74" s="53">
        <v>72</v>
      </c>
      <c r="B74" s="175" t="s">
        <v>78</v>
      </c>
      <c r="C74" s="177" t="s">
        <v>79</v>
      </c>
      <c r="D74" s="55" t="s">
        <v>132</v>
      </c>
      <c r="E74" s="180"/>
      <c r="F74" s="181"/>
      <c r="G74" s="181"/>
      <c r="H74" s="181" t="s">
        <v>256</v>
      </c>
      <c r="I74" s="188"/>
      <c r="J74" s="56"/>
      <c r="K74" s="188">
        <v>17398.8</v>
      </c>
      <c r="L74" s="56">
        <v>12690685</v>
      </c>
      <c r="M74" s="191"/>
      <c r="N74" s="181">
        <v>381177.71340000001</v>
      </c>
    </row>
    <row r="75" spans="1:14">
      <c r="A75" s="53">
        <v>73</v>
      </c>
      <c r="B75" s="175" t="s">
        <v>78</v>
      </c>
      <c r="C75" s="177" t="s">
        <v>80</v>
      </c>
      <c r="D75" s="55" t="s">
        <v>132</v>
      </c>
      <c r="E75" s="180"/>
      <c r="F75" s="181"/>
      <c r="G75" s="181"/>
      <c r="H75" s="181" t="s">
        <v>256</v>
      </c>
      <c r="I75" s="188"/>
      <c r="J75" s="56">
        <v>2744839.23</v>
      </c>
      <c r="K75" s="188">
        <v>5364.92</v>
      </c>
      <c r="L75" s="56">
        <v>2794083</v>
      </c>
      <c r="M75" s="191"/>
      <c r="N75" s="181">
        <v>526525.79174999997</v>
      </c>
    </row>
    <row r="76" spans="1:14">
      <c r="A76" s="53">
        <v>74</v>
      </c>
      <c r="B76" s="175" t="s">
        <v>78</v>
      </c>
      <c r="C76" s="177" t="s">
        <v>156</v>
      </c>
      <c r="D76" s="55" t="s">
        <v>132</v>
      </c>
      <c r="E76" s="180"/>
      <c r="F76" s="181"/>
      <c r="G76" s="181"/>
      <c r="H76" s="181" t="s">
        <v>256</v>
      </c>
      <c r="I76" s="188"/>
      <c r="J76" s="56"/>
      <c r="K76" s="188">
        <v>837.46</v>
      </c>
      <c r="L76" s="56">
        <v>1054404</v>
      </c>
      <c r="M76" s="191"/>
      <c r="N76" s="181">
        <v>2857499.5</v>
      </c>
    </row>
    <row r="77" spans="1:14">
      <c r="A77" s="53">
        <v>75</v>
      </c>
      <c r="B77" s="175" t="s">
        <v>78</v>
      </c>
      <c r="C77" s="177" t="s">
        <v>157</v>
      </c>
      <c r="D77" s="55" t="s">
        <v>132</v>
      </c>
      <c r="E77" s="180"/>
      <c r="F77" s="181"/>
      <c r="G77" s="181"/>
      <c r="H77" s="181" t="s">
        <v>256</v>
      </c>
      <c r="I77" s="188"/>
      <c r="J77" s="56"/>
      <c r="K77" s="188">
        <v>5081.28</v>
      </c>
      <c r="L77" s="56">
        <v>9917058</v>
      </c>
      <c r="M77" s="191"/>
      <c r="N77" s="181">
        <v>6123647</v>
      </c>
    </row>
    <row r="78" spans="1:14">
      <c r="A78" s="53">
        <v>76</v>
      </c>
      <c r="B78" s="175" t="s">
        <v>78</v>
      </c>
      <c r="C78" s="177" t="s">
        <v>158</v>
      </c>
      <c r="D78" s="55" t="s">
        <v>132</v>
      </c>
      <c r="E78" s="180"/>
      <c r="F78" s="181"/>
      <c r="G78" s="181"/>
      <c r="H78" s="181" t="s">
        <v>256</v>
      </c>
      <c r="I78" s="188"/>
      <c r="J78" s="56"/>
      <c r="K78" s="188"/>
      <c r="L78" s="56"/>
      <c r="M78" s="191"/>
      <c r="N78" s="181">
        <v>5580</v>
      </c>
    </row>
    <row r="79" spans="1:14">
      <c r="A79" s="53">
        <v>77</v>
      </c>
      <c r="B79" s="175" t="s">
        <v>78</v>
      </c>
      <c r="C79" s="177" t="s">
        <v>159</v>
      </c>
      <c r="D79" s="55" t="s">
        <v>132</v>
      </c>
      <c r="E79" s="180"/>
      <c r="F79" s="181"/>
      <c r="G79" s="181"/>
      <c r="H79" s="181" t="s">
        <v>256</v>
      </c>
      <c r="I79" s="188"/>
      <c r="J79" s="56"/>
      <c r="K79" s="188"/>
      <c r="L79" s="56"/>
      <c r="M79" s="191"/>
      <c r="N79" s="181">
        <v>94615</v>
      </c>
    </row>
    <row r="80" spans="1:14">
      <c r="A80" s="53">
        <v>78</v>
      </c>
      <c r="B80" s="175" t="s">
        <v>78</v>
      </c>
      <c r="C80" s="177" t="s">
        <v>160</v>
      </c>
      <c r="D80" s="55" t="s">
        <v>132</v>
      </c>
      <c r="E80" s="180"/>
      <c r="F80" s="181"/>
      <c r="G80" s="181"/>
      <c r="H80" s="181" t="s">
        <v>256</v>
      </c>
      <c r="I80" s="188"/>
      <c r="J80" s="56"/>
      <c r="K80" s="188"/>
      <c r="L80" s="56"/>
      <c r="M80" s="191"/>
      <c r="N80" s="181">
        <v>602834</v>
      </c>
    </row>
    <row r="81" spans="1:16">
      <c r="A81" s="53">
        <v>79</v>
      </c>
      <c r="B81" s="175" t="s">
        <v>78</v>
      </c>
      <c r="C81" s="177" t="s">
        <v>161</v>
      </c>
      <c r="D81" s="55" t="s">
        <v>132</v>
      </c>
      <c r="E81" s="180"/>
      <c r="F81" s="181"/>
      <c r="G81" s="181"/>
      <c r="H81" s="181" t="s">
        <v>256</v>
      </c>
      <c r="I81" s="188"/>
      <c r="J81" s="56"/>
      <c r="K81" s="188"/>
      <c r="L81" s="56"/>
      <c r="M81" s="191"/>
      <c r="N81" s="181">
        <v>1488422</v>
      </c>
    </row>
    <row r="82" spans="1:16">
      <c r="A82" s="53">
        <v>80</v>
      </c>
      <c r="B82" s="175" t="s">
        <v>78</v>
      </c>
      <c r="C82" s="177" t="s">
        <v>162</v>
      </c>
      <c r="D82" s="55" t="s">
        <v>99</v>
      </c>
      <c r="E82" s="180"/>
      <c r="F82" s="181"/>
      <c r="G82" s="181"/>
      <c r="H82" s="181" t="s">
        <v>256</v>
      </c>
      <c r="I82" s="188"/>
      <c r="J82" s="56">
        <v>4107299.7</v>
      </c>
      <c r="K82" s="188">
        <v>10260</v>
      </c>
      <c r="L82" s="56">
        <v>4903254</v>
      </c>
      <c r="M82" s="191"/>
      <c r="N82" s="181">
        <v>7741357</v>
      </c>
      <c r="O82" s="69"/>
      <c r="P82" s="70"/>
    </row>
    <row r="83" spans="1:16">
      <c r="A83" s="53">
        <v>81</v>
      </c>
      <c r="B83" s="175" t="s">
        <v>76</v>
      </c>
      <c r="C83" s="177" t="s">
        <v>167</v>
      </c>
      <c r="D83" s="55" t="s">
        <v>132</v>
      </c>
      <c r="E83" s="180"/>
      <c r="F83" s="181"/>
      <c r="G83" s="181"/>
      <c r="H83" s="181" t="s">
        <v>256</v>
      </c>
      <c r="I83" s="188"/>
      <c r="J83" s="56">
        <v>25788867.469999999</v>
      </c>
      <c r="K83" s="188"/>
      <c r="L83" s="56"/>
      <c r="M83" s="191"/>
      <c r="N83" s="181">
        <v>1064589</v>
      </c>
    </row>
    <row r="84" spans="1:16">
      <c r="A84" s="53">
        <v>82</v>
      </c>
      <c r="B84" s="175" t="s">
        <v>76</v>
      </c>
      <c r="C84" s="177" t="s">
        <v>93</v>
      </c>
      <c r="D84" s="55" t="s">
        <v>132</v>
      </c>
      <c r="E84" s="180"/>
      <c r="F84" s="181"/>
      <c r="G84" s="181"/>
      <c r="H84" s="181" t="s">
        <v>256</v>
      </c>
      <c r="I84" s="188"/>
      <c r="J84" s="56">
        <v>4915179.0999999996</v>
      </c>
      <c r="K84" s="188">
        <v>16000</v>
      </c>
      <c r="L84" s="56">
        <v>76144361</v>
      </c>
      <c r="M84" s="191"/>
      <c r="N84" s="181">
        <v>561137.6100000001</v>
      </c>
    </row>
    <row r="85" spans="1:16">
      <c r="A85" s="53">
        <v>83</v>
      </c>
      <c r="B85" s="175" t="s">
        <v>76</v>
      </c>
      <c r="C85" s="177" t="s">
        <v>92</v>
      </c>
      <c r="D85" s="55" t="s">
        <v>132</v>
      </c>
      <c r="E85" s="180"/>
      <c r="F85" s="181"/>
      <c r="G85" s="181"/>
      <c r="H85" s="181" t="s">
        <v>256</v>
      </c>
      <c r="I85" s="188"/>
      <c r="J85" s="56"/>
      <c r="K85" s="188">
        <v>856</v>
      </c>
      <c r="L85" s="56">
        <v>7135850</v>
      </c>
      <c r="M85" s="191"/>
      <c r="N85" s="181">
        <v>5929075.0119150002</v>
      </c>
    </row>
    <row r="86" spans="1:16">
      <c r="A86" s="53">
        <v>84</v>
      </c>
      <c r="B86" s="175" t="s">
        <v>76</v>
      </c>
      <c r="C86" s="177" t="s">
        <v>120</v>
      </c>
      <c r="D86" s="55" t="s">
        <v>99</v>
      </c>
      <c r="E86" s="180"/>
      <c r="F86" s="181"/>
      <c r="G86" s="181"/>
      <c r="H86" s="181" t="s">
        <v>256</v>
      </c>
      <c r="I86" s="188"/>
      <c r="J86" s="56"/>
      <c r="K86" s="188">
        <v>2850</v>
      </c>
      <c r="L86" s="56">
        <v>4244210</v>
      </c>
      <c r="M86" s="191"/>
      <c r="N86" s="181">
        <v>738000</v>
      </c>
    </row>
    <row r="87" spans="1:16">
      <c r="A87" s="68">
        <v>85</v>
      </c>
      <c r="B87" s="175" t="s">
        <v>76</v>
      </c>
      <c r="C87" s="177" t="s">
        <v>77</v>
      </c>
      <c r="D87" s="55" t="s">
        <v>14</v>
      </c>
      <c r="E87" s="180"/>
      <c r="F87" s="181"/>
      <c r="G87" s="181"/>
      <c r="H87" s="181" t="s">
        <v>256</v>
      </c>
      <c r="I87" s="188"/>
      <c r="J87" s="56"/>
      <c r="K87" s="188"/>
      <c r="L87" s="56"/>
      <c r="M87" s="191"/>
      <c r="N87" s="181">
        <v>1340845.5763299998</v>
      </c>
    </row>
    <row r="88" spans="1:16">
      <c r="A88" s="68">
        <v>86</v>
      </c>
      <c r="B88" s="175" t="s">
        <v>244</v>
      </c>
      <c r="C88" s="177" t="s">
        <v>75</v>
      </c>
      <c r="D88" s="55" t="s">
        <v>14</v>
      </c>
      <c r="E88" s="180"/>
      <c r="F88" s="181"/>
      <c r="G88" s="181"/>
      <c r="H88" s="181" t="s">
        <v>256</v>
      </c>
      <c r="I88" s="188"/>
      <c r="J88" s="56"/>
      <c r="K88" s="188"/>
      <c r="L88" s="56"/>
      <c r="M88" s="191"/>
      <c r="N88" s="181"/>
    </row>
    <row r="89" spans="1:16">
      <c r="A89" s="68">
        <v>87</v>
      </c>
      <c r="B89" s="175" t="s">
        <v>245</v>
      </c>
      <c r="C89" s="177" t="s">
        <v>246</v>
      </c>
      <c r="D89" s="57"/>
      <c r="E89" s="180"/>
      <c r="F89" s="181"/>
      <c r="G89" s="181"/>
      <c r="H89" s="181" t="s">
        <v>256</v>
      </c>
      <c r="I89" s="188">
        <v>16479.759999999998</v>
      </c>
      <c r="J89" s="56">
        <v>9008790.3499999996</v>
      </c>
      <c r="K89" s="188"/>
      <c r="L89" s="56">
        <v>10434768</v>
      </c>
      <c r="M89" s="191"/>
      <c r="N89" s="181"/>
    </row>
    <row r="90" spans="1:16">
      <c r="A90" s="68">
        <v>88</v>
      </c>
      <c r="B90" s="175" t="s">
        <v>245</v>
      </c>
      <c r="C90" s="177" t="s">
        <v>221</v>
      </c>
      <c r="D90" s="57"/>
      <c r="E90" s="180"/>
      <c r="F90" s="181"/>
      <c r="G90" s="181"/>
      <c r="H90" s="181" t="s">
        <v>256</v>
      </c>
      <c r="I90" s="188">
        <v>16479.759999999998</v>
      </c>
      <c r="J90" s="56">
        <f>14220474.49+91409</f>
        <v>14311883.49</v>
      </c>
      <c r="K90" s="188"/>
      <c r="L90" s="56">
        <v>17341341</v>
      </c>
      <c r="M90" s="191"/>
      <c r="N90" s="181"/>
    </row>
    <row r="91" spans="1:16" ht="45">
      <c r="A91" s="68">
        <v>89</v>
      </c>
      <c r="B91" s="175" t="s">
        <v>245</v>
      </c>
      <c r="C91" s="177" t="s">
        <v>222</v>
      </c>
      <c r="D91" s="57"/>
      <c r="E91" s="180"/>
      <c r="F91" s="181"/>
      <c r="G91" s="181"/>
      <c r="H91" s="181" t="s">
        <v>256</v>
      </c>
      <c r="I91" s="188">
        <v>16479.759999999998</v>
      </c>
      <c r="J91" s="56">
        <v>14118512.699999999</v>
      </c>
      <c r="K91" s="188"/>
      <c r="L91" s="56">
        <v>21392492.710000001</v>
      </c>
      <c r="M91" s="191"/>
      <c r="N91" s="181"/>
    </row>
    <row r="92" spans="1:16">
      <c r="A92" s="68">
        <v>90</v>
      </c>
      <c r="B92" s="175" t="s">
        <v>245</v>
      </c>
      <c r="C92" s="177" t="s">
        <v>223</v>
      </c>
      <c r="D92" s="57"/>
      <c r="E92" s="180"/>
      <c r="F92" s="181"/>
      <c r="G92" s="181"/>
      <c r="H92" s="181" t="s">
        <v>256</v>
      </c>
      <c r="I92" s="188">
        <v>16479.759999999998</v>
      </c>
      <c r="J92" s="56">
        <v>12491642.35</v>
      </c>
      <c r="K92" s="188"/>
      <c r="L92" s="56">
        <v>22503998.59</v>
      </c>
      <c r="M92" s="191"/>
      <c r="N92" s="181"/>
    </row>
    <row r="93" spans="1:16">
      <c r="A93" s="68">
        <v>91</v>
      </c>
      <c r="B93" s="175" t="s">
        <v>245</v>
      </c>
      <c r="C93" s="177" t="s">
        <v>247</v>
      </c>
      <c r="D93" s="57"/>
      <c r="E93" s="180"/>
      <c r="F93" s="181"/>
      <c r="G93" s="181"/>
      <c r="H93" s="181" t="s">
        <v>256</v>
      </c>
      <c r="I93" s="188">
        <v>16479.759999999998</v>
      </c>
      <c r="J93" s="56">
        <v>3609332.46</v>
      </c>
      <c r="K93" s="188"/>
      <c r="L93" s="56">
        <v>8081719</v>
      </c>
      <c r="M93" s="191"/>
      <c r="N93" s="181"/>
    </row>
    <row r="94" spans="1:16">
      <c r="A94" s="68">
        <v>92</v>
      </c>
      <c r="B94" s="175" t="s">
        <v>245</v>
      </c>
      <c r="C94" s="177" t="s">
        <v>225</v>
      </c>
      <c r="D94" s="57"/>
      <c r="E94" s="180"/>
      <c r="F94" s="181"/>
      <c r="G94" s="181"/>
      <c r="H94" s="181" t="s">
        <v>256</v>
      </c>
      <c r="I94" s="188">
        <v>16479.759999999998</v>
      </c>
      <c r="J94" s="56">
        <v>4133903</v>
      </c>
      <c r="K94" s="188"/>
      <c r="L94" s="56">
        <v>7219991</v>
      </c>
      <c r="M94" s="191"/>
      <c r="N94" s="181"/>
    </row>
    <row r="95" spans="1:16">
      <c r="A95" s="68">
        <v>93</v>
      </c>
      <c r="B95" s="175" t="s">
        <v>245</v>
      </c>
      <c r="C95" s="177" t="s">
        <v>226</v>
      </c>
      <c r="D95" s="57"/>
      <c r="E95" s="180"/>
      <c r="F95" s="181"/>
      <c r="G95" s="181"/>
      <c r="H95" s="181" t="s">
        <v>256</v>
      </c>
      <c r="I95" s="188">
        <v>16479.759999999998</v>
      </c>
      <c r="J95" s="56">
        <v>6248643</v>
      </c>
      <c r="K95" s="188"/>
      <c r="L95" s="56">
        <v>8857088</v>
      </c>
      <c r="M95" s="191"/>
      <c r="N95" s="181"/>
    </row>
    <row r="96" spans="1:16">
      <c r="A96" s="68">
        <v>94</v>
      </c>
      <c r="B96" s="175" t="s">
        <v>245</v>
      </c>
      <c r="C96" s="177" t="s">
        <v>227</v>
      </c>
      <c r="D96" s="57"/>
      <c r="E96" s="180"/>
      <c r="F96" s="181"/>
      <c r="G96" s="181"/>
      <c r="H96" s="181" t="s">
        <v>256</v>
      </c>
      <c r="I96" s="188">
        <v>16479.759999999998</v>
      </c>
      <c r="J96" s="56">
        <v>8311000</v>
      </c>
      <c r="K96" s="188"/>
      <c r="L96" s="56">
        <v>10459000</v>
      </c>
      <c r="M96" s="191"/>
      <c r="N96" s="181"/>
    </row>
    <row r="97" spans="1:27" ht="30">
      <c r="A97" s="68">
        <v>95</v>
      </c>
      <c r="B97" s="175" t="s">
        <v>245</v>
      </c>
      <c r="C97" s="177" t="s">
        <v>228</v>
      </c>
      <c r="D97" s="57"/>
      <c r="E97" s="180"/>
      <c r="F97" s="181"/>
      <c r="G97" s="181"/>
      <c r="H97" s="181" t="s">
        <v>256</v>
      </c>
      <c r="I97" s="188">
        <v>16479.759999999998</v>
      </c>
      <c r="J97" s="56">
        <v>1800000</v>
      </c>
      <c r="K97" s="188"/>
      <c r="L97" s="56">
        <v>2665253</v>
      </c>
      <c r="M97" s="191"/>
      <c r="N97" s="181"/>
    </row>
    <row r="98" spans="1:27">
      <c r="A98" s="68">
        <v>96</v>
      </c>
      <c r="B98" s="175" t="s">
        <v>245</v>
      </c>
      <c r="C98" s="177" t="s">
        <v>229</v>
      </c>
      <c r="D98" s="57"/>
      <c r="E98" s="180"/>
      <c r="F98" s="181"/>
      <c r="G98" s="181"/>
      <c r="H98" s="181" t="s">
        <v>256</v>
      </c>
      <c r="I98" s="188">
        <v>16479.759999999998</v>
      </c>
      <c r="J98" s="56">
        <v>6442916</v>
      </c>
      <c r="K98" s="188"/>
      <c r="L98" s="56">
        <v>8689359</v>
      </c>
      <c r="M98" s="191"/>
      <c r="N98" s="181"/>
    </row>
    <row r="99" spans="1:27">
      <c r="A99" s="68">
        <v>97</v>
      </c>
      <c r="B99" s="175" t="s">
        <v>245</v>
      </c>
      <c r="C99" s="177" t="s">
        <v>248</v>
      </c>
      <c r="D99" s="57"/>
      <c r="E99" s="180"/>
      <c r="F99" s="181"/>
      <c r="G99" s="181"/>
      <c r="H99" s="181" t="s">
        <v>256</v>
      </c>
      <c r="I99" s="188">
        <v>16479.759999999998</v>
      </c>
      <c r="J99" s="56">
        <v>1761800</v>
      </c>
      <c r="K99" s="188"/>
      <c r="L99" s="56">
        <v>2668203</v>
      </c>
      <c r="M99" s="191"/>
      <c r="N99" s="181"/>
    </row>
    <row r="100" spans="1:27">
      <c r="A100" s="68">
        <v>98</v>
      </c>
      <c r="B100" s="175" t="s">
        <v>245</v>
      </c>
      <c r="C100" s="177" t="s">
        <v>249</v>
      </c>
      <c r="D100" s="57"/>
      <c r="E100" s="180"/>
      <c r="F100" s="181"/>
      <c r="G100" s="181"/>
      <c r="H100" s="181" t="s">
        <v>256</v>
      </c>
      <c r="I100" s="188">
        <v>16479.759999999998</v>
      </c>
      <c r="J100" s="56">
        <v>2949600</v>
      </c>
      <c r="K100" s="188"/>
      <c r="L100" s="56">
        <v>8289790</v>
      </c>
      <c r="M100" s="191"/>
      <c r="N100" s="181"/>
    </row>
    <row r="101" spans="1:27">
      <c r="A101" s="68">
        <v>99</v>
      </c>
      <c r="B101" s="175" t="s">
        <v>245</v>
      </c>
      <c r="C101" s="177" t="s">
        <v>233</v>
      </c>
      <c r="D101" s="57"/>
      <c r="E101" s="180"/>
      <c r="F101" s="181"/>
      <c r="G101" s="181"/>
      <c r="H101" s="181" t="s">
        <v>256</v>
      </c>
      <c r="I101" s="188">
        <v>16479.759999999998</v>
      </c>
      <c r="J101" s="56">
        <v>250000</v>
      </c>
      <c r="K101" s="188"/>
      <c r="L101" s="56"/>
      <c r="M101" s="191"/>
      <c r="N101" s="181"/>
    </row>
    <row r="102" spans="1:27" s="70" customFormat="1">
      <c r="A102" s="68">
        <v>100</v>
      </c>
      <c r="B102" s="175" t="s">
        <v>245</v>
      </c>
      <c r="C102" s="177" t="s">
        <v>232</v>
      </c>
      <c r="D102" s="57"/>
      <c r="E102" s="180"/>
      <c r="F102" s="181"/>
      <c r="G102" s="181"/>
      <c r="H102" s="181" t="s">
        <v>256</v>
      </c>
      <c r="I102" s="188"/>
      <c r="J102" s="56"/>
      <c r="K102" s="188"/>
      <c r="L102" s="56">
        <v>4738482</v>
      </c>
      <c r="M102" s="191"/>
      <c r="N102" s="181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</row>
  </sheetData>
  <autoFilter ref="A2:N86" xr:uid="{00000000-0009-0000-0000-000002000000}">
    <sortState xmlns:xlrd2="http://schemas.microsoft.com/office/spreadsheetml/2017/richdata2" ref="A4:N101">
      <sortCondition ref="A2:A86"/>
    </sortState>
  </autoFilter>
  <mergeCells count="8">
    <mergeCell ref="B1:B2"/>
    <mergeCell ref="A1:A2"/>
    <mergeCell ref="I1:J1"/>
    <mergeCell ref="K1:L1"/>
    <mergeCell ref="M1:N1"/>
    <mergeCell ref="D1:D2"/>
    <mergeCell ref="E1:H1"/>
    <mergeCell ref="C1:C2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W72"/>
  <sheetViews>
    <sheetView zoomScale="90" zoomScaleNormal="90" workbookViewId="0">
      <selection activeCell="F22" sqref="F22"/>
    </sheetView>
  </sheetViews>
  <sheetFormatPr defaultColWidth="9" defaultRowHeight="15" outlineLevelRow="2" outlineLevelCol="2"/>
  <cols>
    <col min="1" max="1" width="8.5703125" style="1" customWidth="1"/>
    <col min="2" max="2" width="41.7109375" customWidth="1"/>
    <col min="3" max="3" width="8" style="2" customWidth="1"/>
    <col min="4" max="4" width="14.28515625" customWidth="1" outlineLevel="2"/>
    <col min="5" max="5" width="13.140625" customWidth="1" outlineLevel="2"/>
    <col min="6" max="6" width="16.140625" customWidth="1" outlineLevel="2"/>
    <col min="7" max="7" width="13.140625" customWidth="1" outlineLevel="2"/>
    <col min="8" max="8" width="13.140625" style="2" customWidth="1" outlineLevel="1"/>
    <col min="9" max="9" width="13.140625" customWidth="1" outlineLevel="1"/>
    <col min="10" max="10" width="16.28515625" style="2" customWidth="1" outlineLevel="1"/>
    <col min="11" max="11" width="13.140625" style="2" customWidth="1" outlineLevel="1"/>
    <col min="12" max="14" width="14.28515625" customWidth="1" outlineLevel="1"/>
    <col min="15" max="15" width="14.28515625" style="70" customWidth="1" outlineLevel="1"/>
    <col min="16" max="18" width="13.140625" customWidth="1"/>
    <col min="19" max="19" width="13.140625" style="2" customWidth="1"/>
    <col min="20" max="22" width="14.28515625" customWidth="1"/>
    <col min="23" max="23" width="26.85546875" customWidth="1"/>
  </cols>
  <sheetData>
    <row r="1" spans="1:23" ht="15.75">
      <c r="A1" s="3" t="s">
        <v>168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3" spans="1:23">
      <c r="A3" s="348" t="s">
        <v>169</v>
      </c>
      <c r="B3" s="366" t="s">
        <v>44</v>
      </c>
      <c r="C3" s="367"/>
      <c r="D3" s="368" t="s">
        <v>45</v>
      </c>
      <c r="E3" s="369"/>
      <c r="F3" s="369"/>
      <c r="G3" s="370"/>
      <c r="H3" s="368" t="s">
        <v>46</v>
      </c>
      <c r="I3" s="369"/>
      <c r="J3" s="369"/>
      <c r="K3" s="369"/>
      <c r="L3" s="342" t="s">
        <v>170</v>
      </c>
      <c r="M3" s="342" t="s">
        <v>171</v>
      </c>
      <c r="N3" s="342" t="s">
        <v>172</v>
      </c>
      <c r="O3" s="345" t="s">
        <v>236</v>
      </c>
      <c r="P3" s="369" t="s">
        <v>173</v>
      </c>
      <c r="Q3" s="369"/>
      <c r="R3" s="369"/>
      <c r="S3" s="369"/>
      <c r="T3" s="342" t="s">
        <v>170</v>
      </c>
      <c r="U3" s="342" t="s">
        <v>171</v>
      </c>
      <c r="V3" s="342" t="s">
        <v>172</v>
      </c>
      <c r="W3" s="342" t="s">
        <v>3</v>
      </c>
    </row>
    <row r="4" spans="1:23">
      <c r="A4" s="349"/>
      <c r="B4" s="371" t="s">
        <v>174</v>
      </c>
      <c r="C4" s="372"/>
      <c r="D4" s="373" t="s">
        <v>175</v>
      </c>
      <c r="E4" s="374"/>
      <c r="F4" s="374"/>
      <c r="G4" s="375"/>
      <c r="H4" s="373" t="s">
        <v>176</v>
      </c>
      <c r="I4" s="374"/>
      <c r="J4" s="374"/>
      <c r="K4" s="375"/>
      <c r="L4" s="343"/>
      <c r="M4" s="343"/>
      <c r="N4" s="343"/>
      <c r="O4" s="346"/>
      <c r="P4" s="376"/>
      <c r="Q4" s="376"/>
      <c r="R4" s="376"/>
      <c r="S4" s="377"/>
      <c r="T4" s="343"/>
      <c r="U4" s="343"/>
      <c r="V4" s="343"/>
      <c r="W4" s="343"/>
    </row>
    <row r="5" spans="1:23">
      <c r="A5" s="349"/>
      <c r="B5" s="351" t="s">
        <v>177</v>
      </c>
      <c r="C5" s="352"/>
      <c r="D5" s="353">
        <v>20616</v>
      </c>
      <c r="E5" s="354"/>
      <c r="F5" s="354"/>
      <c r="G5" s="355"/>
      <c r="H5" s="353">
        <v>26373.99</v>
      </c>
      <c r="I5" s="354"/>
      <c r="J5" s="354"/>
      <c r="K5" s="354"/>
      <c r="L5" s="343"/>
      <c r="M5" s="343"/>
      <c r="N5" s="343"/>
      <c r="O5" s="346"/>
      <c r="P5" s="356">
        <f>'1 этап проверки ЭфП'!H14</f>
        <v>28201.801999999996</v>
      </c>
      <c r="Q5" s="357"/>
      <c r="R5" s="357"/>
      <c r="S5" s="358"/>
      <c r="T5" s="343"/>
      <c r="U5" s="343"/>
      <c r="V5" s="343"/>
      <c r="W5" s="343"/>
    </row>
    <row r="6" spans="1:23">
      <c r="A6" s="349"/>
      <c r="B6" s="359" t="s">
        <v>178</v>
      </c>
      <c r="C6" s="360"/>
      <c r="D6" s="361">
        <f>'1 этап проверки ЭфП'!E3</f>
        <v>29288.1</v>
      </c>
      <c r="E6" s="362"/>
      <c r="F6" s="362"/>
      <c r="G6" s="363"/>
      <c r="H6" s="361">
        <f>'1 этап проверки ЭфП'!G3</f>
        <v>33154.400000000001</v>
      </c>
      <c r="I6" s="362"/>
      <c r="J6" s="362"/>
      <c r="K6" s="363"/>
      <c r="L6" s="343"/>
      <c r="M6" s="343"/>
      <c r="N6" s="343"/>
      <c r="O6" s="346"/>
      <c r="P6" s="364">
        <f>'1 этап проверки ЭфП'!I3</f>
        <v>34717.966</v>
      </c>
      <c r="Q6" s="364"/>
      <c r="R6" s="364"/>
      <c r="S6" s="365"/>
      <c r="T6" s="343"/>
      <c r="U6" s="343"/>
      <c r="V6" s="343"/>
      <c r="W6" s="343"/>
    </row>
    <row r="7" spans="1:23" ht="39" thickBot="1">
      <c r="A7" s="350"/>
      <c r="B7" s="4" t="s">
        <v>179</v>
      </c>
      <c r="C7" s="5" t="s">
        <v>43</v>
      </c>
      <c r="D7" s="6" t="s">
        <v>47</v>
      </c>
      <c r="E7" s="7" t="s">
        <v>180</v>
      </c>
      <c r="F7" s="7" t="s">
        <v>53</v>
      </c>
      <c r="G7" s="8" t="s">
        <v>181</v>
      </c>
      <c r="H7" s="9" t="s">
        <v>47</v>
      </c>
      <c r="I7" s="7" t="s">
        <v>180</v>
      </c>
      <c r="J7" s="7" t="s">
        <v>53</v>
      </c>
      <c r="K7" s="8" t="s">
        <v>181</v>
      </c>
      <c r="L7" s="344"/>
      <c r="M7" s="344"/>
      <c r="N7" s="344"/>
      <c r="O7" s="347"/>
      <c r="P7" s="42" t="s">
        <v>47</v>
      </c>
      <c r="Q7" s="43" t="s">
        <v>180</v>
      </c>
      <c r="R7" s="45" t="s">
        <v>182</v>
      </c>
      <c r="S7" s="46" t="s">
        <v>181</v>
      </c>
      <c r="T7" s="344"/>
      <c r="U7" s="344"/>
      <c r="V7" s="344"/>
      <c r="W7" s="344"/>
    </row>
    <row r="8" spans="1:23">
      <c r="A8" s="10" t="s">
        <v>183</v>
      </c>
      <c r="B8" s="11" t="s">
        <v>184</v>
      </c>
      <c r="C8" s="12" t="s">
        <v>99</v>
      </c>
      <c r="D8" s="206">
        <v>9350</v>
      </c>
      <c r="E8" s="207">
        <v>15653080</v>
      </c>
      <c r="F8" s="208">
        <f t="shared" ref="F8:F62" si="0">E8/$D$5</f>
        <v>759.26852929763288</v>
      </c>
      <c r="G8" s="209">
        <f>E8/D8</f>
        <v>1674.1262032085563</v>
      </c>
      <c r="H8" s="210">
        <v>10351</v>
      </c>
      <c r="I8" s="211">
        <v>19391533.399999999</v>
      </c>
      <c r="J8" s="212">
        <f t="shared" ref="J8:J60" si="1">I8/$H$5</f>
        <v>735.25217079402842</v>
      </c>
      <c r="K8" s="213">
        <f>I8/H8</f>
        <v>1873.3971017293013</v>
      </c>
      <c r="L8" s="213">
        <f t="shared" ref="L8:L63" si="2">J8/F8</f>
        <v>0.96836908474815753</v>
      </c>
      <c r="M8" s="213">
        <f>(H8/$H$6)/(D8/$D$6)</f>
        <v>0.97795917071072802</v>
      </c>
      <c r="N8" s="214">
        <f t="shared" ref="N8:N63" si="3">K8-G8</f>
        <v>199.27089852074505</v>
      </c>
      <c r="O8" s="215">
        <f>K8/G8</f>
        <v>1.1190297948498933</v>
      </c>
      <c r="P8" s="216">
        <v>11160</v>
      </c>
      <c r="Q8" s="217">
        <v>23755472.815700002</v>
      </c>
      <c r="R8" s="217">
        <f>Q8/$P$6</f>
        <v>684.2414908667173</v>
      </c>
      <c r="S8" s="218">
        <f>Q8/P8</f>
        <v>2128.6265963888891</v>
      </c>
      <c r="T8" s="219">
        <f t="shared" ref="T8:T63" si="4">R8/J8</f>
        <v>0.93062151741459986</v>
      </c>
      <c r="U8" s="220">
        <f>(P8/$P$6)/(K8/$H$6)</f>
        <v>5.6888076534387384</v>
      </c>
      <c r="V8" s="219">
        <f>S8-K8</f>
        <v>255.22949465958777</v>
      </c>
      <c r="W8" s="47"/>
    </row>
    <row r="9" spans="1:23">
      <c r="A9" s="13" t="s">
        <v>185</v>
      </c>
      <c r="B9" s="14" t="s">
        <v>186</v>
      </c>
      <c r="C9" s="15" t="s">
        <v>102</v>
      </c>
      <c r="D9" s="221">
        <v>11108.2</v>
      </c>
      <c r="E9" s="222">
        <v>125773186.41</v>
      </c>
      <c r="F9" s="223">
        <f t="shared" si="0"/>
        <v>6100.7560346332948</v>
      </c>
      <c r="G9" s="224">
        <f t="shared" ref="G9:G35" si="5">E9/D9</f>
        <v>11322.553285860895</v>
      </c>
      <c r="H9" s="225">
        <v>12747.6</v>
      </c>
      <c r="I9" s="226">
        <v>157634494.30000001</v>
      </c>
      <c r="J9" s="227">
        <f t="shared" si="1"/>
        <v>5976.892169140885</v>
      </c>
      <c r="K9" s="214">
        <f t="shared" ref="K9:K43" si="6">I9/H9</f>
        <v>12365.817432300983</v>
      </c>
      <c r="L9" s="214">
        <f t="shared" si="2"/>
        <v>0.97969696464024314</v>
      </c>
      <c r="M9" s="214">
        <f t="shared" ref="M9:M43" si="7">(H9/$H$6)/(D9/$D$6)</f>
        <v>1.0137590935416299</v>
      </c>
      <c r="N9" s="214">
        <f t="shared" si="3"/>
        <v>1043.2641464400876</v>
      </c>
      <c r="O9" s="228">
        <f t="shared" ref="O9:O63" si="8">K9/G9</f>
        <v>1.0921403609328004</v>
      </c>
      <c r="P9" s="229">
        <v>14013.7</v>
      </c>
      <c r="Q9" s="230">
        <v>202765918.30095419</v>
      </c>
      <c r="R9" s="230">
        <f t="shared" ref="R9:R62" si="9">Q9/$P$6</f>
        <v>5840.3743554836765</v>
      </c>
      <c r="S9" s="231">
        <f t="shared" ref="S9:S63" si="10">Q9/P9</f>
        <v>14469.12081041796</v>
      </c>
      <c r="T9" s="232">
        <f t="shared" si="4"/>
        <v>0.9771590636414591</v>
      </c>
      <c r="U9" s="233">
        <f t="shared" ref="U9:U63" si="11">(P9/$P$6)/(K9/$H$6)</f>
        <v>1.0822233126744669</v>
      </c>
      <c r="V9" s="232">
        <f t="shared" ref="V9:V63" si="12">S9-K9</f>
        <v>2103.3033781169779</v>
      </c>
      <c r="W9" s="48"/>
    </row>
    <row r="10" spans="1:23">
      <c r="A10" s="13" t="s">
        <v>187</v>
      </c>
      <c r="B10" s="14" t="s">
        <v>188</v>
      </c>
      <c r="C10" s="15" t="s">
        <v>102</v>
      </c>
      <c r="D10" s="221">
        <v>6541.97</v>
      </c>
      <c r="E10" s="222">
        <v>61303067.420000002</v>
      </c>
      <c r="F10" s="223">
        <f t="shared" si="0"/>
        <v>2973.5674922390376</v>
      </c>
      <c r="G10" s="224">
        <f t="shared" si="5"/>
        <v>9370.7350262994169</v>
      </c>
      <c r="H10" s="225">
        <v>7697.53</v>
      </c>
      <c r="I10" s="226">
        <v>78103405.599999994</v>
      </c>
      <c r="J10" s="227">
        <f t="shared" si="1"/>
        <v>2961.3799656403899</v>
      </c>
      <c r="K10" s="214">
        <f t="shared" si="6"/>
        <v>10146.554232331669</v>
      </c>
      <c r="L10" s="214">
        <f t="shared" si="2"/>
        <v>0.99590137885537922</v>
      </c>
      <c r="M10" s="214">
        <f t="shared" si="7"/>
        <v>1.039424305171577</v>
      </c>
      <c r="N10" s="214">
        <f t="shared" si="3"/>
        <v>775.81920603225262</v>
      </c>
      <c r="O10" s="228">
        <f t="shared" si="8"/>
        <v>1.0827917131212097</v>
      </c>
      <c r="P10" s="229">
        <v>7595.6</v>
      </c>
      <c r="Q10" s="230">
        <v>81634413.264643639</v>
      </c>
      <c r="R10" s="230">
        <f t="shared" si="9"/>
        <v>2351.3593297672924</v>
      </c>
      <c r="S10" s="231">
        <f t="shared" si="10"/>
        <v>10747.592456770188</v>
      </c>
      <c r="T10" s="232">
        <f t="shared" si="4"/>
        <v>0.79400798176832998</v>
      </c>
      <c r="U10" s="233">
        <f t="shared" si="11"/>
        <v>0.71487548495531461</v>
      </c>
      <c r="V10" s="232">
        <f t="shared" si="12"/>
        <v>601.03822443851823</v>
      </c>
      <c r="W10" s="48"/>
    </row>
    <row r="11" spans="1:23">
      <c r="A11" s="13" t="s">
        <v>189</v>
      </c>
      <c r="B11" s="14" t="s">
        <v>190</v>
      </c>
      <c r="C11" s="15" t="s">
        <v>100</v>
      </c>
      <c r="D11" s="221">
        <v>1140</v>
      </c>
      <c r="E11" s="222">
        <v>13776900</v>
      </c>
      <c r="F11" s="223">
        <f t="shared" si="0"/>
        <v>668.26251455180443</v>
      </c>
      <c r="G11" s="224">
        <f t="shared" si="5"/>
        <v>12085</v>
      </c>
      <c r="H11" s="225">
        <v>1537</v>
      </c>
      <c r="I11" s="226">
        <v>18589701</v>
      </c>
      <c r="J11" s="227">
        <f t="shared" si="1"/>
        <v>704.84977813368391</v>
      </c>
      <c r="K11" s="214">
        <f t="shared" si="6"/>
        <v>12094.795705920624</v>
      </c>
      <c r="L11" s="214">
        <f t="shared" si="2"/>
        <v>1.0547498367560211</v>
      </c>
      <c r="M11" s="214">
        <f t="shared" si="7"/>
        <v>1.1910199662313614</v>
      </c>
      <c r="N11" s="214">
        <f t="shared" si="3"/>
        <v>9.7957059206237318</v>
      </c>
      <c r="O11" s="228">
        <f t="shared" si="8"/>
        <v>1.000810567308285</v>
      </c>
      <c r="P11" s="229">
        <v>1643.5</v>
      </c>
      <c r="Q11" s="230">
        <v>20130319.772123214</v>
      </c>
      <c r="R11" s="230">
        <f t="shared" si="9"/>
        <v>579.82428383400145</v>
      </c>
      <c r="S11" s="231">
        <f t="shared" si="10"/>
        <v>12248.44525228063</v>
      </c>
      <c r="T11" s="232">
        <f t="shared" si="4"/>
        <v>0.8226210773156124</v>
      </c>
      <c r="U11" s="233">
        <f t="shared" si="11"/>
        <v>0.12976514927975349</v>
      </c>
      <c r="V11" s="232">
        <f t="shared" si="12"/>
        <v>153.64954636000584</v>
      </c>
      <c r="W11" s="48"/>
    </row>
    <row r="12" spans="1:23">
      <c r="A12" s="13" t="s">
        <v>191</v>
      </c>
      <c r="B12" s="14" t="s">
        <v>105</v>
      </c>
      <c r="C12" s="15" t="s">
        <v>132</v>
      </c>
      <c r="D12" s="221">
        <v>1527.2</v>
      </c>
      <c r="E12" s="222">
        <v>5429075</v>
      </c>
      <c r="F12" s="223">
        <f t="shared" si="0"/>
        <v>263.34279200620875</v>
      </c>
      <c r="G12" s="224">
        <f t="shared" si="5"/>
        <v>3554.9207700366683</v>
      </c>
      <c r="H12" s="225">
        <v>1717</v>
      </c>
      <c r="I12" s="226">
        <v>6908321</v>
      </c>
      <c r="J12" s="227">
        <f t="shared" si="1"/>
        <v>261.93689312841929</v>
      </c>
      <c r="K12" s="214">
        <f t="shared" si="6"/>
        <v>4023.4834012813044</v>
      </c>
      <c r="L12" s="214">
        <f t="shared" si="2"/>
        <v>0.99466133526162237</v>
      </c>
      <c r="M12" s="214">
        <f t="shared" si="7"/>
        <v>0.99317185924340434</v>
      </c>
      <c r="N12" s="214">
        <f t="shared" si="3"/>
        <v>468.56263124463612</v>
      </c>
      <c r="O12" s="228">
        <f t="shared" si="8"/>
        <v>1.1318067719522771</v>
      </c>
      <c r="P12" s="229">
        <v>1751</v>
      </c>
      <c r="Q12" s="230">
        <v>7388375.7005853839</v>
      </c>
      <c r="R12" s="230">
        <f t="shared" si="9"/>
        <v>212.81130641655054</v>
      </c>
      <c r="S12" s="231">
        <f t="shared" si="10"/>
        <v>4219.5178187238062</v>
      </c>
      <c r="T12" s="232">
        <f t="shared" si="4"/>
        <v>0.81245258686112598</v>
      </c>
      <c r="U12" s="233">
        <f t="shared" si="11"/>
        <v>0.4155954951781905</v>
      </c>
      <c r="V12" s="232">
        <f t="shared" si="12"/>
        <v>196.03441744250176</v>
      </c>
      <c r="W12" s="48"/>
    </row>
    <row r="13" spans="1:23">
      <c r="A13" s="16" t="s">
        <v>192</v>
      </c>
      <c r="B13" s="17" t="s">
        <v>193</v>
      </c>
      <c r="C13" s="15"/>
      <c r="D13" s="221"/>
      <c r="E13" s="222">
        <v>8128265</v>
      </c>
      <c r="F13" s="223">
        <f t="shared" si="0"/>
        <v>394.26974194800152</v>
      </c>
      <c r="G13" s="224"/>
      <c r="H13" s="225"/>
      <c r="I13" s="226">
        <f>I14+I15</f>
        <v>6726334</v>
      </c>
      <c r="J13" s="227">
        <f t="shared" si="1"/>
        <v>255.03664784888443</v>
      </c>
      <c r="K13" s="214"/>
      <c r="L13" s="214">
        <f t="shared" si="2"/>
        <v>0.64685828181691929</v>
      </c>
      <c r="M13" s="214"/>
      <c r="N13" s="214">
        <f t="shared" si="3"/>
        <v>0</v>
      </c>
      <c r="O13" s="228"/>
      <c r="P13" s="229"/>
      <c r="Q13" s="230">
        <f>Q14+Q15</f>
        <v>7263547</v>
      </c>
      <c r="R13" s="230">
        <f t="shared" si="9"/>
        <v>209.21579910528169</v>
      </c>
      <c r="S13" s="234" t="e">
        <f t="shared" si="10"/>
        <v>#DIV/0!</v>
      </c>
      <c r="T13" s="232">
        <f t="shared" si="4"/>
        <v>0.82033621783347488</v>
      </c>
      <c r="U13" s="233" t="e">
        <f t="shared" si="11"/>
        <v>#DIV/0!</v>
      </c>
      <c r="V13" s="232" t="e">
        <f t="shared" si="12"/>
        <v>#DIV/0!</v>
      </c>
      <c r="W13" s="48"/>
    </row>
    <row r="14" spans="1:23" outlineLevel="2">
      <c r="A14" s="13"/>
      <c r="B14" s="18" t="s">
        <v>194</v>
      </c>
      <c r="C14" s="19" t="s">
        <v>142</v>
      </c>
      <c r="D14" s="20">
        <v>16.600000000000001</v>
      </c>
      <c r="E14" s="200">
        <v>864459.11</v>
      </c>
      <c r="F14" s="201">
        <f t="shared" si="0"/>
        <v>41.931466336825764</v>
      </c>
      <c r="G14" s="202">
        <f t="shared" si="5"/>
        <v>52075.849999999991</v>
      </c>
      <c r="H14" s="203">
        <v>21.6</v>
      </c>
      <c r="I14" s="200">
        <v>1189775</v>
      </c>
      <c r="J14" s="201">
        <f t="shared" si="1"/>
        <v>45.11168010604387</v>
      </c>
      <c r="K14" s="202">
        <f t="shared" si="6"/>
        <v>55082.17592592592</v>
      </c>
      <c r="L14" s="202">
        <f t="shared" si="2"/>
        <v>1.0758431327841527</v>
      </c>
      <c r="M14" s="202">
        <f t="shared" si="7"/>
        <v>1.1494648332489767</v>
      </c>
      <c r="N14" s="202">
        <f t="shared" si="3"/>
        <v>3006.3259259259285</v>
      </c>
      <c r="O14" s="235">
        <f t="shared" si="8"/>
        <v>1.0577297523886011</v>
      </c>
      <c r="P14" s="236">
        <f>19.856+3.2</f>
        <v>23.056000000000001</v>
      </c>
      <c r="Q14" s="237">
        <f>1683742+41652</f>
        <v>1725394</v>
      </c>
      <c r="R14" s="237">
        <f t="shared" si="9"/>
        <v>49.697439072323533</v>
      </c>
      <c r="S14" s="202">
        <f t="shared" si="10"/>
        <v>74834.923664122136</v>
      </c>
      <c r="T14" s="238">
        <f t="shared" si="4"/>
        <v>1.1016534732357548</v>
      </c>
      <c r="U14" s="239">
        <f t="shared" si="11"/>
        <v>3.9972358592414058E-4</v>
      </c>
      <c r="V14" s="238">
        <f t="shared" si="12"/>
        <v>19752.747738196216</v>
      </c>
      <c r="W14" s="21"/>
    </row>
    <row r="15" spans="1:23" outlineLevel="2">
      <c r="A15" s="13"/>
      <c r="B15" s="18" t="s">
        <v>195</v>
      </c>
      <c r="C15" s="19" t="s">
        <v>99</v>
      </c>
      <c r="D15" s="20">
        <v>1627.6</v>
      </c>
      <c r="E15" s="200">
        <v>7013079.54</v>
      </c>
      <c r="F15" s="201">
        <f t="shared" si="0"/>
        <v>340.17653958090801</v>
      </c>
      <c r="G15" s="202">
        <f t="shared" si="5"/>
        <v>4308.8471000245763</v>
      </c>
      <c r="H15" s="203">
        <v>736.3</v>
      </c>
      <c r="I15" s="200">
        <v>5536559</v>
      </c>
      <c r="J15" s="201">
        <f t="shared" si="1"/>
        <v>209.92496774284058</v>
      </c>
      <c r="K15" s="202">
        <f t="shared" si="6"/>
        <v>7519.4336547602879</v>
      </c>
      <c r="L15" s="202">
        <f t="shared" si="2"/>
        <v>0.61710595328374129</v>
      </c>
      <c r="M15" s="202">
        <f t="shared" si="7"/>
        <v>0.39962913701531338</v>
      </c>
      <c r="N15" s="202">
        <f t="shared" si="3"/>
        <v>3210.5865547357116</v>
      </c>
      <c r="O15" s="235">
        <f t="shared" si="8"/>
        <v>1.7451149878855992</v>
      </c>
      <c r="P15" s="236">
        <f>345.8+440.4+1.1</f>
        <v>787.30000000000007</v>
      </c>
      <c r="Q15" s="237">
        <f>1769107+3744452+24594</f>
        <v>5538153</v>
      </c>
      <c r="R15" s="237">
        <f t="shared" si="9"/>
        <v>159.51836003295816</v>
      </c>
      <c r="S15" s="202">
        <f t="shared" si="10"/>
        <v>7034.3617426648034</v>
      </c>
      <c r="T15" s="238">
        <f t="shared" si="4"/>
        <v>0.75988274166781899</v>
      </c>
      <c r="U15" s="239">
        <f t="shared" si="11"/>
        <v>9.9986650256753393E-2</v>
      </c>
      <c r="V15" s="238">
        <f t="shared" si="12"/>
        <v>-485.07191209548455</v>
      </c>
      <c r="W15" s="21"/>
    </row>
    <row r="16" spans="1:23">
      <c r="A16" s="13" t="s">
        <v>196</v>
      </c>
      <c r="B16" s="14" t="s">
        <v>197</v>
      </c>
      <c r="C16" s="15"/>
      <c r="D16" s="221"/>
      <c r="E16" s="222">
        <v>72228456</v>
      </c>
      <c r="F16" s="223">
        <f t="shared" si="0"/>
        <v>3503.5145518044237</v>
      </c>
      <c r="G16" s="224"/>
      <c r="H16" s="225"/>
      <c r="I16" s="226">
        <f>I17+I18</f>
        <v>124195172</v>
      </c>
      <c r="J16" s="227">
        <f t="shared" si="1"/>
        <v>4709.0020129680788</v>
      </c>
      <c r="K16" s="214"/>
      <c r="L16" s="214">
        <f t="shared" si="2"/>
        <v>1.3440794788601034</v>
      </c>
      <c r="M16" s="214"/>
      <c r="N16" s="214">
        <f t="shared" si="3"/>
        <v>0</v>
      </c>
      <c r="O16" s="228"/>
      <c r="P16" s="229"/>
      <c r="Q16" s="230">
        <f>Q17+Q18</f>
        <v>101375443.9198868</v>
      </c>
      <c r="R16" s="230">
        <f t="shared" si="9"/>
        <v>2919.9707125667096</v>
      </c>
      <c r="S16" s="234" t="e">
        <f t="shared" si="10"/>
        <v>#DIV/0!</v>
      </c>
      <c r="T16" s="232">
        <f t="shared" si="4"/>
        <v>0.62008270638352414</v>
      </c>
      <c r="U16" s="233" t="e">
        <f t="shared" si="11"/>
        <v>#DIV/0!</v>
      </c>
      <c r="V16" s="232" t="e">
        <f t="shared" si="12"/>
        <v>#DIV/0!</v>
      </c>
      <c r="W16" s="48"/>
    </row>
    <row r="17" spans="1:23" outlineLevel="2">
      <c r="A17" s="13"/>
      <c r="B17" s="18" t="s">
        <v>198</v>
      </c>
      <c r="C17" s="19" t="s">
        <v>132</v>
      </c>
      <c r="D17" s="20">
        <v>8254.7800000000007</v>
      </c>
      <c r="E17" s="200">
        <v>64206495.600000001</v>
      </c>
      <c r="F17" s="201">
        <f t="shared" si="0"/>
        <v>3114.4012223515715</v>
      </c>
      <c r="G17" s="202">
        <f t="shared" si="5"/>
        <v>7778.0989438846336</v>
      </c>
      <c r="H17" s="203">
        <v>12287.4</v>
      </c>
      <c r="I17" s="200">
        <v>107572172</v>
      </c>
      <c r="J17" s="201">
        <f t="shared" si="1"/>
        <v>4078.7219529544068</v>
      </c>
      <c r="K17" s="202">
        <f t="shared" si="6"/>
        <v>8754.6732425085866</v>
      </c>
      <c r="L17" s="202">
        <f t="shared" si="2"/>
        <v>1.3096327870930875</v>
      </c>
      <c r="M17" s="202">
        <f t="shared" si="7"/>
        <v>1.3149357076672752</v>
      </c>
      <c r="N17" s="202">
        <f t="shared" si="3"/>
        <v>976.57429862395293</v>
      </c>
      <c r="O17" s="235">
        <f t="shared" si="8"/>
        <v>1.1255543681906701</v>
      </c>
      <c r="P17" s="236">
        <v>8341.3060139933314</v>
      </c>
      <c r="Q17" s="237">
        <v>84679345.557067975</v>
      </c>
      <c r="R17" s="237">
        <f t="shared" si="9"/>
        <v>2439.0641305734321</v>
      </c>
      <c r="S17" s="202">
        <f t="shared" si="10"/>
        <v>10151.809011084157</v>
      </c>
      <c r="T17" s="238">
        <f t="shared" si="4"/>
        <v>0.59799715663547626</v>
      </c>
      <c r="U17" s="239">
        <f t="shared" si="11"/>
        <v>0.90987349153198371</v>
      </c>
      <c r="V17" s="238">
        <f t="shared" si="12"/>
        <v>1397.1357685755702</v>
      </c>
      <c r="W17" s="21"/>
    </row>
    <row r="18" spans="1:23" outlineLevel="2">
      <c r="A18" s="13"/>
      <c r="B18" s="18" t="s">
        <v>199</v>
      </c>
      <c r="C18" s="19" t="s">
        <v>100</v>
      </c>
      <c r="D18" s="20">
        <v>815</v>
      </c>
      <c r="E18" s="200">
        <v>8021960.5499999998</v>
      </c>
      <c r="F18" s="201">
        <f t="shared" si="0"/>
        <v>389.11333672875435</v>
      </c>
      <c r="G18" s="202">
        <f t="shared" si="5"/>
        <v>9842.8963803680981</v>
      </c>
      <c r="H18" s="203">
        <v>1256</v>
      </c>
      <c r="I18" s="200">
        <v>16623000</v>
      </c>
      <c r="J18" s="201">
        <f t="shared" si="1"/>
        <v>630.28006001367248</v>
      </c>
      <c r="K18" s="202">
        <f t="shared" si="6"/>
        <v>13234.872611464969</v>
      </c>
      <c r="L18" s="202">
        <f t="shared" si="2"/>
        <v>1.6197852926666254</v>
      </c>
      <c r="M18" s="202">
        <f t="shared" si="7"/>
        <v>1.3613884337257367</v>
      </c>
      <c r="N18" s="202">
        <f t="shared" si="3"/>
        <v>3391.9762310968708</v>
      </c>
      <c r="O18" s="235">
        <f t="shared" si="8"/>
        <v>1.3446115960198719</v>
      </c>
      <c r="P18" s="236">
        <v>1268</v>
      </c>
      <c r="Q18" s="237">
        <v>16696098.362818822</v>
      </c>
      <c r="R18" s="237">
        <f t="shared" si="9"/>
        <v>480.90658199327754</v>
      </c>
      <c r="S18" s="202">
        <f t="shared" si="10"/>
        <v>13167.270002223046</v>
      </c>
      <c r="T18" s="238">
        <f t="shared" si="4"/>
        <v>0.76300459510466723</v>
      </c>
      <c r="U18" s="239">
        <f t="shared" si="11"/>
        <v>9.1492688062414326E-2</v>
      </c>
      <c r="V18" s="238">
        <f t="shared" si="12"/>
        <v>-67.602609241923346</v>
      </c>
      <c r="W18" s="21"/>
    </row>
    <row r="19" spans="1:23">
      <c r="A19" s="13" t="s">
        <v>200</v>
      </c>
      <c r="B19" s="14" t="s">
        <v>201</v>
      </c>
      <c r="C19" s="15"/>
      <c r="D19" s="221"/>
      <c r="E19" s="222">
        <f>E20+E26+E27+E28+E29+E30+E31+E32+E33+E34</f>
        <v>76070074.480000004</v>
      </c>
      <c r="F19" s="223">
        <f t="shared" si="0"/>
        <v>3689.8561544431514</v>
      </c>
      <c r="G19" s="224"/>
      <c r="H19" s="225"/>
      <c r="I19" s="226">
        <f>I20+I28+I29+I31+I32+I33+I34+I27+I26+I30</f>
        <v>123504345.8</v>
      </c>
      <c r="J19" s="227">
        <f t="shared" si="1"/>
        <v>4682.808547360486</v>
      </c>
      <c r="K19" s="214"/>
      <c r="L19" s="214">
        <f t="shared" si="2"/>
        <v>1.2691032797367094</v>
      </c>
      <c r="M19" s="214"/>
      <c r="N19" s="214">
        <f t="shared" si="3"/>
        <v>0</v>
      </c>
      <c r="O19" s="228"/>
      <c r="P19" s="229"/>
      <c r="Q19" s="230">
        <f>Q20+Q26+Q27+Q28+Q29+Q30+Q31+Q32+Q33+Q34</f>
        <v>131118554.16041163</v>
      </c>
      <c r="R19" s="230">
        <f t="shared" si="9"/>
        <v>3776.6773019021803</v>
      </c>
      <c r="S19" s="234" t="e">
        <f t="shared" si="10"/>
        <v>#DIV/0!</v>
      </c>
      <c r="T19" s="232">
        <f t="shared" si="4"/>
        <v>0.80649833613867128</v>
      </c>
      <c r="U19" s="233" t="e">
        <f t="shared" si="11"/>
        <v>#DIV/0!</v>
      </c>
      <c r="V19" s="232" t="e">
        <f t="shared" si="12"/>
        <v>#DIV/0!</v>
      </c>
      <c r="W19" s="48"/>
    </row>
    <row r="20" spans="1:23" outlineLevel="2">
      <c r="A20" s="13"/>
      <c r="B20" s="18" t="s">
        <v>202</v>
      </c>
      <c r="C20" s="19"/>
      <c r="D20" s="193">
        <f>SUM(D21:D25)</f>
        <v>1713.5</v>
      </c>
      <c r="E20" s="194">
        <f>SUM(E21:E25)</f>
        <v>1982688.48</v>
      </c>
      <c r="F20" s="195">
        <f t="shared" si="0"/>
        <v>96.172316647264253</v>
      </c>
      <c r="G20" s="196">
        <f t="shared" si="5"/>
        <v>1157.0986168660636</v>
      </c>
      <c r="H20" s="197">
        <f>SUM(H21:H25)</f>
        <v>5988.2</v>
      </c>
      <c r="I20" s="194">
        <f>SUM(I21:I25)</f>
        <v>9592854.8999999985</v>
      </c>
      <c r="J20" s="195">
        <f t="shared" si="1"/>
        <v>363.72406677942922</v>
      </c>
      <c r="K20" s="196">
        <f t="shared" si="6"/>
        <v>1601.9596706856817</v>
      </c>
      <c r="L20" s="196">
        <f t="shared" si="2"/>
        <v>3.7820037975530645</v>
      </c>
      <c r="M20" s="196">
        <f t="shared" si="7"/>
        <v>3.0871818624447815</v>
      </c>
      <c r="N20" s="196">
        <f t="shared" si="3"/>
        <v>444.86105381961806</v>
      </c>
      <c r="O20" s="198">
        <f t="shared" si="8"/>
        <v>1.3844625231896821</v>
      </c>
      <c r="P20" s="240"/>
      <c r="Q20" s="241">
        <f>Q21+Q22+Q23+Q24+Q25</f>
        <v>11603658.029999999</v>
      </c>
      <c r="R20" s="241">
        <f t="shared" si="9"/>
        <v>334.22632045898081</v>
      </c>
      <c r="S20" s="196" t="e">
        <f t="shared" si="10"/>
        <v>#DIV/0!</v>
      </c>
      <c r="T20" s="242">
        <f t="shared" si="4"/>
        <v>0.91890075742956945</v>
      </c>
      <c r="U20" s="243">
        <f t="shared" si="11"/>
        <v>0</v>
      </c>
      <c r="V20" s="242" t="e">
        <f t="shared" si="12"/>
        <v>#DIV/0!</v>
      </c>
      <c r="W20" s="22"/>
    </row>
    <row r="21" spans="1:23" outlineLevel="2">
      <c r="A21" s="13"/>
      <c r="B21" s="23" t="s">
        <v>203</v>
      </c>
      <c r="C21" s="19" t="s">
        <v>132</v>
      </c>
      <c r="D21" s="20">
        <v>248.46</v>
      </c>
      <c r="E21" s="200">
        <v>543804</v>
      </c>
      <c r="F21" s="201">
        <f t="shared" si="0"/>
        <v>26.377764842840513</v>
      </c>
      <c r="G21" s="202">
        <f t="shared" si="5"/>
        <v>2188.6983820333253</v>
      </c>
      <c r="H21" s="203">
        <v>697</v>
      </c>
      <c r="I21" s="200">
        <v>1639128</v>
      </c>
      <c r="J21" s="201">
        <f t="shared" si="1"/>
        <v>62.149413114966677</v>
      </c>
      <c r="K21" s="202">
        <f t="shared" si="6"/>
        <v>2351.6901004304159</v>
      </c>
      <c r="L21" s="202">
        <f t="shared" si="2"/>
        <v>2.3561288640358531</v>
      </c>
      <c r="M21" s="202">
        <f t="shared" si="7"/>
        <v>2.4781427693960185</v>
      </c>
      <c r="N21" s="202">
        <f t="shared" si="3"/>
        <v>162.99171839709061</v>
      </c>
      <c r="O21" s="235">
        <f t="shared" si="8"/>
        <v>1.0744697029682406</v>
      </c>
      <c r="P21" s="236"/>
      <c r="Q21" s="237">
        <f>1632190+300000</f>
        <v>1932190</v>
      </c>
      <c r="R21" s="237">
        <f t="shared" si="9"/>
        <v>55.653894009804603</v>
      </c>
      <c r="S21" s="202" t="e">
        <f t="shared" si="10"/>
        <v>#DIV/0!</v>
      </c>
      <c r="T21" s="238">
        <f t="shared" si="4"/>
        <v>0.89548543132424463</v>
      </c>
      <c r="U21" s="239">
        <f t="shared" si="11"/>
        <v>0</v>
      </c>
      <c r="V21" s="238" t="e">
        <f t="shared" si="12"/>
        <v>#DIV/0!</v>
      </c>
      <c r="W21" s="21"/>
    </row>
    <row r="22" spans="1:23" outlineLevel="2">
      <c r="A22" s="13"/>
      <c r="B22" s="23" t="s">
        <v>204</v>
      </c>
      <c r="C22" s="19" t="s">
        <v>132</v>
      </c>
      <c r="D22" s="20">
        <v>417.6</v>
      </c>
      <c r="E22" s="200">
        <v>687567.42</v>
      </c>
      <c r="F22" s="201">
        <f t="shared" si="0"/>
        <v>33.35115541327125</v>
      </c>
      <c r="G22" s="202">
        <f t="shared" si="5"/>
        <v>1646.4737068965517</v>
      </c>
      <c r="H22" s="203">
        <v>1254</v>
      </c>
      <c r="I22" s="200">
        <v>4135975.8</v>
      </c>
      <c r="J22" s="201">
        <f t="shared" si="1"/>
        <v>156.82025359075359</v>
      </c>
      <c r="K22" s="202">
        <f t="shared" si="6"/>
        <v>3298.2263157894736</v>
      </c>
      <c r="L22" s="202">
        <f t="shared" si="2"/>
        <v>4.7020935750954802</v>
      </c>
      <c r="M22" s="202">
        <f t="shared" si="7"/>
        <v>2.6526934948874521</v>
      </c>
      <c r="N22" s="202">
        <f t="shared" si="3"/>
        <v>1651.7526088929219</v>
      </c>
      <c r="O22" s="235">
        <f t="shared" si="8"/>
        <v>2.0032061866364819</v>
      </c>
      <c r="P22" s="236"/>
      <c r="Q22" s="237">
        <f>4326319+600000</f>
        <v>4926319</v>
      </c>
      <c r="R22" s="237">
        <f t="shared" si="9"/>
        <v>141.89538062224037</v>
      </c>
      <c r="S22" s="202" t="e">
        <f t="shared" si="10"/>
        <v>#DIV/0!</v>
      </c>
      <c r="T22" s="238">
        <f t="shared" si="4"/>
        <v>0.90482815435650321</v>
      </c>
      <c r="U22" s="239">
        <f t="shared" si="11"/>
        <v>0</v>
      </c>
      <c r="V22" s="238" t="e">
        <f t="shared" si="12"/>
        <v>#DIV/0!</v>
      </c>
      <c r="W22" s="21"/>
    </row>
    <row r="23" spans="1:23" outlineLevel="2">
      <c r="A23" s="13"/>
      <c r="B23" s="23" t="s">
        <v>205</v>
      </c>
      <c r="C23" s="19" t="s">
        <v>132</v>
      </c>
      <c r="D23" s="20">
        <v>339.44</v>
      </c>
      <c r="E23" s="200">
        <v>187206</v>
      </c>
      <c r="F23" s="201">
        <f t="shared" si="0"/>
        <v>9.0806169965075672</v>
      </c>
      <c r="G23" s="202">
        <f t="shared" si="5"/>
        <v>551.51425877916574</v>
      </c>
      <c r="H23" s="203">
        <v>688.2</v>
      </c>
      <c r="I23" s="200">
        <v>397458.6</v>
      </c>
      <c r="J23" s="201">
        <f t="shared" si="1"/>
        <v>15.070097471031117</v>
      </c>
      <c r="K23" s="202">
        <f t="shared" si="6"/>
        <v>577.53356582388835</v>
      </c>
      <c r="L23" s="202">
        <f t="shared" si="2"/>
        <v>1.6595895936176057</v>
      </c>
      <c r="M23" s="202">
        <f t="shared" si="7"/>
        <v>1.7910251130969936</v>
      </c>
      <c r="N23" s="202">
        <f t="shared" si="3"/>
        <v>26.019307044722609</v>
      </c>
      <c r="O23" s="235">
        <f t="shared" si="8"/>
        <v>1.0471779407885464</v>
      </c>
      <c r="P23" s="236"/>
      <c r="Q23" s="237">
        <f>433928</f>
        <v>433928</v>
      </c>
      <c r="R23" s="237">
        <f t="shared" si="9"/>
        <v>12.498658475557006</v>
      </c>
      <c r="S23" s="202" t="e">
        <f t="shared" si="10"/>
        <v>#DIV/0!</v>
      </c>
      <c r="T23" s="238">
        <f t="shared" si="4"/>
        <v>0.82936812449838992</v>
      </c>
      <c r="U23" s="239">
        <f t="shared" si="11"/>
        <v>0</v>
      </c>
      <c r="V23" s="238" t="e">
        <f t="shared" si="12"/>
        <v>#DIV/0!</v>
      </c>
      <c r="W23" s="21"/>
    </row>
    <row r="24" spans="1:23" outlineLevel="2">
      <c r="A24" s="13"/>
      <c r="B24" s="23" t="s">
        <v>206</v>
      </c>
      <c r="C24" s="19" t="s">
        <v>132</v>
      </c>
      <c r="D24" s="20">
        <v>202</v>
      </c>
      <c r="E24" s="200">
        <v>351839</v>
      </c>
      <c r="F24" s="201">
        <f t="shared" si="0"/>
        <v>17.066307722157546</v>
      </c>
      <c r="G24" s="202">
        <f t="shared" si="5"/>
        <v>1741.7772277227723</v>
      </c>
      <c r="H24" s="203">
        <v>1997</v>
      </c>
      <c r="I24" s="200">
        <v>2756646.4</v>
      </c>
      <c r="J24" s="201">
        <f t="shared" si="1"/>
        <v>104.5214015778424</v>
      </c>
      <c r="K24" s="202">
        <f t="shared" si="6"/>
        <v>1380.393790686029</v>
      </c>
      <c r="L24" s="202">
        <f t="shared" si="2"/>
        <v>6.1244296821239228</v>
      </c>
      <c r="M24" s="202">
        <f t="shared" si="7"/>
        <v>8.733266665559734</v>
      </c>
      <c r="N24" s="202">
        <f t="shared" si="3"/>
        <v>-361.38343703674332</v>
      </c>
      <c r="O24" s="235">
        <f t="shared" si="8"/>
        <v>0.79252028830964694</v>
      </c>
      <c r="P24" s="236"/>
      <c r="Q24" s="237">
        <f>2948664+500000</f>
        <v>3448664</v>
      </c>
      <c r="R24" s="237">
        <f t="shared" si="9"/>
        <v>99.333699445411057</v>
      </c>
      <c r="S24" s="202" t="e">
        <f t="shared" si="10"/>
        <v>#DIV/0!</v>
      </c>
      <c r="T24" s="238">
        <f t="shared" si="4"/>
        <v>0.9503670822040422</v>
      </c>
      <c r="U24" s="239">
        <f t="shared" si="11"/>
        <v>0</v>
      </c>
      <c r="V24" s="238" t="e">
        <f t="shared" si="12"/>
        <v>#DIV/0!</v>
      </c>
      <c r="W24" s="21"/>
    </row>
    <row r="25" spans="1:23" outlineLevel="2">
      <c r="A25" s="13"/>
      <c r="B25" s="23" t="s">
        <v>207</v>
      </c>
      <c r="C25" s="19" t="s">
        <v>132</v>
      </c>
      <c r="D25" s="20">
        <v>506</v>
      </c>
      <c r="E25" s="200">
        <v>212272.06</v>
      </c>
      <c r="F25" s="201">
        <f t="shared" si="0"/>
        <v>10.296471672487389</v>
      </c>
      <c r="G25" s="202">
        <f t="shared" si="5"/>
        <v>419.51</v>
      </c>
      <c r="H25" s="203">
        <v>1352</v>
      </c>
      <c r="I25" s="200">
        <v>663646.1</v>
      </c>
      <c r="J25" s="201">
        <f t="shared" si="1"/>
        <v>25.162901024835453</v>
      </c>
      <c r="K25" s="202">
        <f t="shared" si="6"/>
        <v>490.86249999999995</v>
      </c>
      <c r="L25" s="202">
        <f t="shared" si="2"/>
        <v>2.4438372507809443</v>
      </c>
      <c r="M25" s="202">
        <f t="shared" si="7"/>
        <v>2.3603488824452343</v>
      </c>
      <c r="N25" s="202">
        <f t="shared" si="3"/>
        <v>71.352499999999964</v>
      </c>
      <c r="O25" s="235">
        <f t="shared" si="8"/>
        <v>1.1700853376558364</v>
      </c>
      <c r="P25" s="236"/>
      <c r="Q25" s="237">
        <f>714609+147948.03</f>
        <v>862557.03</v>
      </c>
      <c r="R25" s="237">
        <f t="shared" si="9"/>
        <v>24.844687905967763</v>
      </c>
      <c r="S25" s="202" t="e">
        <f t="shared" si="10"/>
        <v>#DIV/0!</v>
      </c>
      <c r="T25" s="238">
        <f t="shared" si="4"/>
        <v>0.98735387789533424</v>
      </c>
      <c r="U25" s="239">
        <f t="shared" si="11"/>
        <v>0</v>
      </c>
      <c r="V25" s="238" t="e">
        <f t="shared" si="12"/>
        <v>#DIV/0!</v>
      </c>
      <c r="W25" s="21"/>
    </row>
    <row r="26" spans="1:23" outlineLevel="2">
      <c r="A26" s="13"/>
      <c r="B26" s="18" t="s">
        <v>208</v>
      </c>
      <c r="C26" s="19" t="s">
        <v>132</v>
      </c>
      <c r="D26" s="193">
        <v>41</v>
      </c>
      <c r="E26" s="194">
        <v>34157.1</v>
      </c>
      <c r="F26" s="195">
        <f t="shared" si="0"/>
        <v>1.656824796274738</v>
      </c>
      <c r="G26" s="196">
        <f t="shared" si="5"/>
        <v>833.09999999999991</v>
      </c>
      <c r="H26" s="197">
        <v>2767</v>
      </c>
      <c r="I26" s="194">
        <v>2629960.5</v>
      </c>
      <c r="J26" s="195">
        <f t="shared" si="1"/>
        <v>99.717960763615963</v>
      </c>
      <c r="K26" s="196">
        <f t="shared" si="6"/>
        <v>950.47361763642937</v>
      </c>
      <c r="L26" s="196">
        <f t="shared" si="2"/>
        <v>60.18618322699254</v>
      </c>
      <c r="M26" s="196">
        <f t="shared" si="7"/>
        <v>59.617715236854842</v>
      </c>
      <c r="N26" s="196">
        <f t="shared" si="3"/>
        <v>117.37361763642946</v>
      </c>
      <c r="O26" s="198">
        <f t="shared" si="8"/>
        <v>1.1408877897448439</v>
      </c>
      <c r="P26" s="240"/>
      <c r="Q26" s="241">
        <v>2505455</v>
      </c>
      <c r="R26" s="241">
        <f t="shared" si="9"/>
        <v>72.165950044423681</v>
      </c>
      <c r="S26" s="196" t="e">
        <f t="shared" si="10"/>
        <v>#DIV/0!</v>
      </c>
      <c r="T26" s="242">
        <f t="shared" si="4"/>
        <v>0.72370062014700598</v>
      </c>
      <c r="U26" s="243">
        <f t="shared" si="11"/>
        <v>0</v>
      </c>
      <c r="V26" s="242" t="e">
        <f t="shared" si="12"/>
        <v>#DIV/0!</v>
      </c>
      <c r="W26" s="22"/>
    </row>
    <row r="27" spans="1:23" outlineLevel="2">
      <c r="A27" s="13"/>
      <c r="B27" s="18" t="s">
        <v>209</v>
      </c>
      <c r="C27" s="19" t="s">
        <v>99</v>
      </c>
      <c r="D27" s="193">
        <v>10260</v>
      </c>
      <c r="E27" s="194">
        <v>4903254</v>
      </c>
      <c r="F27" s="195">
        <f t="shared" si="0"/>
        <v>237.83731082654248</v>
      </c>
      <c r="G27" s="196">
        <f t="shared" si="5"/>
        <v>477.9</v>
      </c>
      <c r="H27" s="197">
        <v>16000.8</v>
      </c>
      <c r="I27" s="194">
        <v>8612945.4000000004</v>
      </c>
      <c r="J27" s="195">
        <f t="shared" si="1"/>
        <v>326.56967717057603</v>
      </c>
      <c r="K27" s="196">
        <f t="shared" si="6"/>
        <v>538.2821733913305</v>
      </c>
      <c r="L27" s="196">
        <f t="shared" si="2"/>
        <v>1.3730800942697636</v>
      </c>
      <c r="M27" s="196">
        <f t="shared" si="7"/>
        <v>1.3776673372135304</v>
      </c>
      <c r="N27" s="196">
        <f t="shared" si="3"/>
        <v>60.382173391330525</v>
      </c>
      <c r="O27" s="198">
        <f t="shared" si="8"/>
        <v>1.1263489713147741</v>
      </c>
      <c r="P27" s="240"/>
      <c r="Q27" s="241">
        <v>8756584.0486558601</v>
      </c>
      <c r="R27" s="241">
        <f t="shared" si="9"/>
        <v>252.22053759301048</v>
      </c>
      <c r="S27" s="196" t="e">
        <f t="shared" si="10"/>
        <v>#DIV/0!</v>
      </c>
      <c r="T27" s="242">
        <f t="shared" si="4"/>
        <v>0.77233299728948501</v>
      </c>
      <c r="U27" s="243">
        <f t="shared" si="11"/>
        <v>0</v>
      </c>
      <c r="V27" s="242" t="e">
        <f t="shared" si="12"/>
        <v>#DIV/0!</v>
      </c>
      <c r="W27" s="22"/>
    </row>
    <row r="28" spans="1:23" outlineLevel="2">
      <c r="A28" s="13"/>
      <c r="B28" s="18" t="s">
        <v>210</v>
      </c>
      <c r="C28" s="19"/>
      <c r="D28" s="193"/>
      <c r="E28" s="194">
        <f>4035525-1123460</f>
        <v>2912065</v>
      </c>
      <c r="F28" s="195">
        <f t="shared" si="0"/>
        <v>141.25266783081102</v>
      </c>
      <c r="G28" s="196"/>
      <c r="H28" s="197"/>
      <c r="I28" s="194">
        <v>13495526</v>
      </c>
      <c r="J28" s="195">
        <f t="shared" si="1"/>
        <v>511.69830579294216</v>
      </c>
      <c r="K28" s="196"/>
      <c r="L28" s="196">
        <f t="shared" si="2"/>
        <v>3.6225744522279881</v>
      </c>
      <c r="M28" s="196"/>
      <c r="N28" s="196">
        <f t="shared" si="3"/>
        <v>0</v>
      </c>
      <c r="O28" s="198"/>
      <c r="P28" s="240"/>
      <c r="Q28" s="241">
        <v>14430813.333776573</v>
      </c>
      <c r="R28" s="241">
        <f t="shared" si="9"/>
        <v>415.65837508385636</v>
      </c>
      <c r="S28" s="196" t="e">
        <f t="shared" si="10"/>
        <v>#DIV/0!</v>
      </c>
      <c r="T28" s="242">
        <f t="shared" si="4"/>
        <v>0.81231141549265129</v>
      </c>
      <c r="U28" s="243" t="e">
        <f t="shared" si="11"/>
        <v>#DIV/0!</v>
      </c>
      <c r="V28" s="242" t="e">
        <f t="shared" si="12"/>
        <v>#DIV/0!</v>
      </c>
      <c r="W28" s="22"/>
    </row>
    <row r="29" spans="1:23" outlineLevel="2">
      <c r="A29" s="13"/>
      <c r="B29" s="18" t="s">
        <v>211</v>
      </c>
      <c r="C29" s="19" t="s">
        <v>132</v>
      </c>
      <c r="D29" s="193">
        <v>41195.980000000003</v>
      </c>
      <c r="E29" s="194">
        <v>36087946</v>
      </c>
      <c r="F29" s="195">
        <f t="shared" si="0"/>
        <v>1750.4824408226621</v>
      </c>
      <c r="G29" s="196">
        <f t="shared" si="5"/>
        <v>876.00649383750545</v>
      </c>
      <c r="H29" s="197">
        <v>47597.8</v>
      </c>
      <c r="I29" s="194">
        <v>35082697</v>
      </c>
      <c r="J29" s="195">
        <f t="shared" si="1"/>
        <v>1330.2005877760625</v>
      </c>
      <c r="K29" s="196">
        <f t="shared" si="6"/>
        <v>737.06551563307539</v>
      </c>
      <c r="L29" s="196">
        <f t="shared" si="2"/>
        <v>0.7599051305826966</v>
      </c>
      <c r="M29" s="196">
        <f t="shared" si="7"/>
        <v>1.0206622846231117</v>
      </c>
      <c r="N29" s="196">
        <f t="shared" si="3"/>
        <v>-138.94097820443005</v>
      </c>
      <c r="O29" s="198">
        <f t="shared" si="8"/>
        <v>0.84139275315668738</v>
      </c>
      <c r="P29" s="240"/>
      <c r="Q29" s="241">
        <f>37803397-1275735</f>
        <v>36527662</v>
      </c>
      <c r="R29" s="241">
        <f t="shared" si="9"/>
        <v>1052.1256343185541</v>
      </c>
      <c r="S29" s="196" t="e">
        <f t="shared" si="10"/>
        <v>#DIV/0!</v>
      </c>
      <c r="T29" s="242">
        <f t="shared" si="4"/>
        <v>0.79095261570857012</v>
      </c>
      <c r="U29" s="243">
        <f t="shared" si="11"/>
        <v>0</v>
      </c>
      <c r="V29" s="242" t="e">
        <f t="shared" si="12"/>
        <v>#DIV/0!</v>
      </c>
      <c r="W29" s="22"/>
    </row>
    <row r="30" spans="1:23" outlineLevel="2">
      <c r="A30" s="13"/>
      <c r="B30" s="18" t="s">
        <v>32</v>
      </c>
      <c r="C30" s="19" t="s">
        <v>132</v>
      </c>
      <c r="D30" s="193">
        <v>3446.2</v>
      </c>
      <c r="E30" s="194">
        <v>3231118</v>
      </c>
      <c r="F30" s="195">
        <f t="shared" si="0"/>
        <v>156.72865735351184</v>
      </c>
      <c r="G30" s="196">
        <f t="shared" si="5"/>
        <v>937.58864836631653</v>
      </c>
      <c r="H30" s="197">
        <v>7175.4</v>
      </c>
      <c r="I30" s="194">
        <v>9474135</v>
      </c>
      <c r="J30" s="195">
        <f t="shared" si="1"/>
        <v>359.22266596749296</v>
      </c>
      <c r="K30" s="196">
        <f t="shared" si="6"/>
        <v>1320.3633246927002</v>
      </c>
      <c r="L30" s="196">
        <f t="shared" si="2"/>
        <v>2.2920037218033618</v>
      </c>
      <c r="M30" s="196">
        <f t="shared" si="7"/>
        <v>1.8393131002399337</v>
      </c>
      <c r="N30" s="196">
        <f t="shared" si="3"/>
        <v>382.77467632638366</v>
      </c>
      <c r="O30" s="198">
        <f t="shared" si="8"/>
        <v>1.4082543842583228</v>
      </c>
      <c r="P30" s="240"/>
      <c r="Q30" s="241">
        <v>10798001.50712112</v>
      </c>
      <c r="R30" s="241">
        <f t="shared" si="9"/>
        <v>311.02056805750425</v>
      </c>
      <c r="S30" s="196" t="e">
        <f t="shared" si="10"/>
        <v>#DIV/0!</v>
      </c>
      <c r="T30" s="242">
        <f t="shared" si="4"/>
        <v>0.86581554429432728</v>
      </c>
      <c r="U30" s="243">
        <f t="shared" si="11"/>
        <v>0</v>
      </c>
      <c r="V30" s="242" t="e">
        <f t="shared" si="12"/>
        <v>#DIV/0!</v>
      </c>
      <c r="W30" s="22"/>
    </row>
    <row r="31" spans="1:23" outlineLevel="2">
      <c r="A31" s="13"/>
      <c r="B31" s="18" t="s">
        <v>212</v>
      </c>
      <c r="C31" s="19" t="s">
        <v>132</v>
      </c>
      <c r="D31" s="193">
        <v>490.1</v>
      </c>
      <c r="E31" s="194">
        <v>283666</v>
      </c>
      <c r="F31" s="195">
        <f t="shared" si="0"/>
        <v>13.759507178890182</v>
      </c>
      <c r="G31" s="196">
        <f t="shared" si="5"/>
        <v>578.79208324831666</v>
      </c>
      <c r="H31" s="197">
        <v>3730</v>
      </c>
      <c r="I31" s="194">
        <v>5299410.3</v>
      </c>
      <c r="J31" s="195">
        <f t="shared" si="1"/>
        <v>200.93320350845661</v>
      </c>
      <c r="K31" s="196">
        <f t="shared" si="6"/>
        <v>1420.7534316353888</v>
      </c>
      <c r="L31" s="196">
        <f t="shared" si="2"/>
        <v>14.60322676503473</v>
      </c>
      <c r="M31" s="196">
        <f t="shared" si="7"/>
        <v>6.7231709652140283</v>
      </c>
      <c r="N31" s="196">
        <f t="shared" si="3"/>
        <v>841.96134838707212</v>
      </c>
      <c r="O31" s="198">
        <f t="shared" si="8"/>
        <v>2.4546870504202269</v>
      </c>
      <c r="P31" s="240"/>
      <c r="Q31" s="241">
        <v>5329313</v>
      </c>
      <c r="R31" s="241">
        <f t="shared" si="9"/>
        <v>153.50303067869817</v>
      </c>
      <c r="S31" s="196" t="e">
        <f t="shared" si="10"/>
        <v>#DIV/0!</v>
      </c>
      <c r="T31" s="242">
        <f t="shared" si="4"/>
        <v>0.76395054674096075</v>
      </c>
      <c r="U31" s="243">
        <f t="shared" si="11"/>
        <v>0</v>
      </c>
      <c r="V31" s="242" t="e">
        <f t="shared" si="12"/>
        <v>#DIV/0!</v>
      </c>
      <c r="W31" s="22"/>
    </row>
    <row r="32" spans="1:23" outlineLevel="2">
      <c r="A32" s="13"/>
      <c r="B32" s="18" t="s">
        <v>213</v>
      </c>
      <c r="C32" s="19" t="s">
        <v>132</v>
      </c>
      <c r="D32" s="193">
        <v>45232.800000000003</v>
      </c>
      <c r="E32" s="194">
        <v>23345015</v>
      </c>
      <c r="F32" s="195">
        <f t="shared" si="0"/>
        <v>1132.3736418315871</v>
      </c>
      <c r="G32" s="196">
        <f t="shared" si="5"/>
        <v>516.10811181266683</v>
      </c>
      <c r="H32" s="197">
        <v>61213.4</v>
      </c>
      <c r="I32" s="194">
        <v>34757583</v>
      </c>
      <c r="J32" s="195">
        <f t="shared" si="1"/>
        <v>1317.8735185688627</v>
      </c>
      <c r="K32" s="196">
        <f t="shared" si="6"/>
        <v>567.81003832494196</v>
      </c>
      <c r="L32" s="196">
        <f t="shared" si="2"/>
        <v>1.1638150782432855</v>
      </c>
      <c r="M32" s="196">
        <f t="shared" si="7"/>
        <v>1.1954820399419761</v>
      </c>
      <c r="N32" s="196">
        <f t="shared" si="3"/>
        <v>51.701926512275122</v>
      </c>
      <c r="O32" s="198">
        <f t="shared" si="8"/>
        <v>1.1001765431097148</v>
      </c>
      <c r="P32" s="240"/>
      <c r="Q32" s="241">
        <f>18236864.12576+18112110</f>
        <v>36348974.125760004</v>
      </c>
      <c r="R32" s="241">
        <f t="shared" si="9"/>
        <v>1046.9787926447075</v>
      </c>
      <c r="S32" s="196" t="e">
        <f t="shared" si="10"/>
        <v>#DIV/0!</v>
      </c>
      <c r="T32" s="242">
        <f t="shared" si="4"/>
        <v>0.79444558062117232</v>
      </c>
      <c r="U32" s="243">
        <f t="shared" si="11"/>
        <v>0</v>
      </c>
      <c r="V32" s="242" t="e">
        <f t="shared" si="12"/>
        <v>#DIV/0!</v>
      </c>
      <c r="W32" s="22"/>
    </row>
    <row r="33" spans="1:23" outlineLevel="2">
      <c r="A33" s="13"/>
      <c r="B33" s="18" t="s">
        <v>214</v>
      </c>
      <c r="C33" s="19" t="s">
        <v>132</v>
      </c>
      <c r="D33" s="193">
        <v>1710</v>
      </c>
      <c r="E33" s="194">
        <v>1149484.8999999999</v>
      </c>
      <c r="F33" s="195">
        <f t="shared" si="0"/>
        <v>55.756931509507176</v>
      </c>
      <c r="G33" s="196">
        <f t="shared" si="5"/>
        <v>672.21339181286544</v>
      </c>
      <c r="H33" s="197">
        <v>1217.7</v>
      </c>
      <c r="I33" s="194">
        <v>1092996.7</v>
      </c>
      <c r="J33" s="195">
        <f t="shared" si="1"/>
        <v>41.442220157056248</v>
      </c>
      <c r="K33" s="196">
        <f t="shared" si="6"/>
        <v>897.59111439599235</v>
      </c>
      <c r="L33" s="196">
        <f t="shared" si="2"/>
        <v>0.74326579736529963</v>
      </c>
      <c r="M33" s="196">
        <f t="shared" si="7"/>
        <v>0.62906311554106653</v>
      </c>
      <c r="N33" s="196">
        <f t="shared" si="3"/>
        <v>225.37772258312691</v>
      </c>
      <c r="O33" s="198">
        <f t="shared" si="8"/>
        <v>1.3352770494133042</v>
      </c>
      <c r="P33" s="240"/>
      <c r="Q33" s="241">
        <f>1111634</f>
        <v>1111634</v>
      </c>
      <c r="R33" s="241">
        <f t="shared" si="9"/>
        <v>32.018984061451064</v>
      </c>
      <c r="S33" s="196" t="e">
        <f t="shared" si="10"/>
        <v>#DIV/0!</v>
      </c>
      <c r="T33" s="242">
        <f t="shared" si="4"/>
        <v>0.77261748864097191</v>
      </c>
      <c r="U33" s="243">
        <f t="shared" si="11"/>
        <v>0</v>
      </c>
      <c r="V33" s="242" t="e">
        <f t="shared" si="12"/>
        <v>#DIV/0!</v>
      </c>
      <c r="W33" s="22"/>
    </row>
    <row r="34" spans="1:23" outlineLevel="2">
      <c r="A34" s="13"/>
      <c r="B34" s="18" t="s">
        <v>215</v>
      </c>
      <c r="C34" s="19"/>
      <c r="D34" s="20"/>
      <c r="E34" s="194">
        <v>2140680</v>
      </c>
      <c r="F34" s="195">
        <f t="shared" si="0"/>
        <v>103.83585564610011</v>
      </c>
      <c r="G34" s="196"/>
      <c r="H34" s="197"/>
      <c r="I34" s="194">
        <v>3466237</v>
      </c>
      <c r="J34" s="195">
        <f t="shared" si="1"/>
        <v>131.42634087599183</v>
      </c>
      <c r="K34" s="196"/>
      <c r="L34" s="196">
        <f t="shared" si="2"/>
        <v>1.2657125042040134</v>
      </c>
      <c r="M34" s="196"/>
      <c r="N34" s="196">
        <f t="shared" si="3"/>
        <v>0</v>
      </c>
      <c r="O34" s="198"/>
      <c r="P34" s="240"/>
      <c r="Q34" s="241">
        <v>3706459.1150980666</v>
      </c>
      <c r="R34" s="241">
        <f t="shared" si="9"/>
        <v>106.75910896099347</v>
      </c>
      <c r="S34" s="196" t="e">
        <f t="shared" si="10"/>
        <v>#DIV/0!</v>
      </c>
      <c r="T34" s="242">
        <f t="shared" si="4"/>
        <v>0.81231135440137314</v>
      </c>
      <c r="U34" s="243" t="e">
        <f t="shared" si="11"/>
        <v>#DIV/0!</v>
      </c>
      <c r="V34" s="242" t="e">
        <f t="shared" si="12"/>
        <v>#DIV/0!</v>
      </c>
      <c r="W34" s="24"/>
    </row>
    <row r="35" spans="1:23">
      <c r="A35" s="13" t="s">
        <v>216</v>
      </c>
      <c r="B35" s="14" t="s">
        <v>217</v>
      </c>
      <c r="C35" s="15" t="s">
        <v>132</v>
      </c>
      <c r="D35" s="221">
        <v>16000</v>
      </c>
      <c r="E35" s="222">
        <f>82020902-5876540</f>
        <v>76144362</v>
      </c>
      <c r="F35" s="223">
        <f t="shared" si="0"/>
        <v>3693.4595459837019</v>
      </c>
      <c r="G35" s="224">
        <f t="shared" si="5"/>
        <v>4759.0226249999996</v>
      </c>
      <c r="H35" s="225">
        <v>18031.3</v>
      </c>
      <c r="I35" s="226">
        <v>147364654</v>
      </c>
      <c r="J35" s="227">
        <f t="shared" si="1"/>
        <v>5587.4994265183232</v>
      </c>
      <c r="K35" s="214">
        <f t="shared" si="6"/>
        <v>8172.7137810363092</v>
      </c>
      <c r="L35" s="214">
        <f t="shared" si="2"/>
        <v>1.5128091581764354</v>
      </c>
      <c r="M35" s="214">
        <f t="shared" si="7"/>
        <v>0.99553625900710008</v>
      </c>
      <c r="N35" s="214">
        <f t="shared" si="3"/>
        <v>3413.6911560363096</v>
      </c>
      <c r="O35" s="228">
        <f t="shared" si="8"/>
        <v>1.7173092933207708</v>
      </c>
      <c r="P35" s="229">
        <v>19280.900000000001</v>
      </c>
      <c r="Q35" s="230">
        <v>157577541.44718802</v>
      </c>
      <c r="R35" s="230">
        <f t="shared" si="9"/>
        <v>4538.7895548716197</v>
      </c>
      <c r="S35" s="234">
        <f t="shared" si="10"/>
        <v>8172.7274892348387</v>
      </c>
      <c r="T35" s="232">
        <f t="shared" si="4"/>
        <v>0.81231141310377286</v>
      </c>
      <c r="U35" s="233">
        <f t="shared" si="11"/>
        <v>2.2529311088055</v>
      </c>
      <c r="V35" s="232">
        <f t="shared" si="12"/>
        <v>1.370819852945715E-2</v>
      </c>
      <c r="W35" s="48"/>
    </row>
    <row r="36" spans="1:23" s="70" customFormat="1">
      <c r="A36" s="192"/>
      <c r="B36" s="18" t="s">
        <v>107</v>
      </c>
      <c r="C36" s="19"/>
      <c r="D36" s="193"/>
      <c r="E36" s="194"/>
      <c r="F36" s="195"/>
      <c r="G36" s="196"/>
      <c r="H36" s="197">
        <v>416.3</v>
      </c>
      <c r="I36" s="194">
        <v>1064589</v>
      </c>
      <c r="J36" s="195">
        <f t="shared" si="1"/>
        <v>40.365109716049787</v>
      </c>
      <c r="K36" s="196">
        <f t="shared" si="6"/>
        <v>2557.2639923132356</v>
      </c>
      <c r="L36" s="196" t="e">
        <f t="shared" si="2"/>
        <v>#DIV/0!</v>
      </c>
      <c r="M36" s="196" t="e">
        <f t="shared" si="7"/>
        <v>#DIV/0!</v>
      </c>
      <c r="N36" s="196">
        <f t="shared" si="3"/>
        <v>2557.2639923132356</v>
      </c>
      <c r="O36" s="198" t="e">
        <f t="shared" si="8"/>
        <v>#DIV/0!</v>
      </c>
      <c r="P36" s="142"/>
      <c r="Q36" s="72"/>
      <c r="R36" s="72"/>
      <c r="S36" s="19"/>
      <c r="T36" s="121"/>
      <c r="U36" s="121"/>
      <c r="V36" s="121"/>
      <c r="W36" s="139"/>
    </row>
    <row r="37" spans="1:23" s="70" customFormat="1">
      <c r="A37" s="192"/>
      <c r="B37" s="18" t="s">
        <v>93</v>
      </c>
      <c r="C37" s="19"/>
      <c r="D37" s="193">
        <v>16000</v>
      </c>
      <c r="E37" s="194">
        <v>76144361</v>
      </c>
      <c r="F37" s="195">
        <f t="shared" ref="F37:F45" si="13">E37/$D$5</f>
        <v>3693.4594974776874</v>
      </c>
      <c r="G37" s="196">
        <f t="shared" ref="G37:G45" si="14">E37/D37</f>
        <v>4759.0225625000003</v>
      </c>
      <c r="H37" s="197">
        <v>14000</v>
      </c>
      <c r="I37" s="194">
        <v>116511430</v>
      </c>
      <c r="J37" s="195">
        <f t="shared" si="1"/>
        <v>4417.6641456222587</v>
      </c>
      <c r="K37" s="196">
        <f t="shared" si="6"/>
        <v>8322.2450000000008</v>
      </c>
      <c r="L37" s="196">
        <f t="shared" si="2"/>
        <v>1.1960775930097893</v>
      </c>
      <c r="M37" s="196">
        <f t="shared" si="7"/>
        <v>0.77296188439543456</v>
      </c>
      <c r="N37" s="196">
        <f t="shared" si="3"/>
        <v>3563.2224375000005</v>
      </c>
      <c r="O37" s="198">
        <f t="shared" si="8"/>
        <v>1.7487298895318066</v>
      </c>
      <c r="P37" s="142"/>
      <c r="Q37" s="72"/>
      <c r="R37" s="72"/>
      <c r="S37" s="19"/>
      <c r="T37" s="121"/>
      <c r="U37" s="121"/>
      <c r="V37" s="121"/>
      <c r="W37" s="139"/>
    </row>
    <row r="38" spans="1:23" s="70" customFormat="1" outlineLevel="1">
      <c r="A38" s="192"/>
      <c r="B38" s="199" t="s">
        <v>250</v>
      </c>
      <c r="C38" s="19"/>
      <c r="D38" s="20">
        <v>16000</v>
      </c>
      <c r="E38" s="200">
        <v>18560000</v>
      </c>
      <c r="F38" s="201">
        <f t="shared" si="13"/>
        <v>900.27163368257663</v>
      </c>
      <c r="G38" s="202">
        <f t="shared" si="14"/>
        <v>1160</v>
      </c>
      <c r="H38" s="203">
        <v>14000</v>
      </c>
      <c r="I38" s="200">
        <v>50559600</v>
      </c>
      <c r="J38" s="201">
        <f t="shared" si="1"/>
        <v>1917.0250690168609</v>
      </c>
      <c r="K38" s="202">
        <f t="shared" si="6"/>
        <v>3611.4</v>
      </c>
      <c r="L38" s="196">
        <f t="shared" si="2"/>
        <v>2.129385173645022</v>
      </c>
      <c r="M38" s="196">
        <f t="shared" si="7"/>
        <v>0.77296188439543456</v>
      </c>
      <c r="N38" s="196">
        <f t="shared" si="3"/>
        <v>2451.4</v>
      </c>
      <c r="O38" s="198">
        <f t="shared" si="8"/>
        <v>3.1132758620689658</v>
      </c>
      <c r="P38" s="142"/>
      <c r="Q38" s="72"/>
      <c r="R38" s="72"/>
      <c r="S38" s="19"/>
      <c r="T38" s="121"/>
      <c r="U38" s="121"/>
      <c r="V38" s="121"/>
      <c r="W38" s="139"/>
    </row>
    <row r="39" spans="1:23" s="70" customFormat="1" outlineLevel="1">
      <c r="A39" s="192"/>
      <c r="B39" s="199" t="s">
        <v>251</v>
      </c>
      <c r="C39" s="19"/>
      <c r="D39" s="20">
        <v>16000</v>
      </c>
      <c r="E39" s="200">
        <v>47600000</v>
      </c>
      <c r="F39" s="201">
        <f t="shared" si="13"/>
        <v>2308.8863019014357</v>
      </c>
      <c r="G39" s="202">
        <f t="shared" si="14"/>
        <v>2975</v>
      </c>
      <c r="H39" s="203">
        <v>14000</v>
      </c>
      <c r="I39" s="200">
        <v>65951830</v>
      </c>
      <c r="J39" s="201">
        <f t="shared" si="1"/>
        <v>2500.6390766053978</v>
      </c>
      <c r="K39" s="202">
        <f t="shared" si="6"/>
        <v>4710.8450000000003</v>
      </c>
      <c r="L39" s="196">
        <f t="shared" si="2"/>
        <v>1.0830498992289261</v>
      </c>
      <c r="M39" s="196">
        <f t="shared" si="7"/>
        <v>0.77296188439543456</v>
      </c>
      <c r="N39" s="196">
        <f t="shared" si="3"/>
        <v>1735.8450000000003</v>
      </c>
      <c r="O39" s="198">
        <f t="shared" si="8"/>
        <v>1.5834773109243698</v>
      </c>
      <c r="P39" s="142"/>
      <c r="Q39" s="72"/>
      <c r="R39" s="72"/>
      <c r="S39" s="19"/>
      <c r="T39" s="121"/>
      <c r="U39" s="121"/>
      <c r="V39" s="121"/>
      <c r="W39" s="139"/>
    </row>
    <row r="40" spans="1:23" s="70" customFormat="1">
      <c r="A40" s="192"/>
      <c r="B40" s="18" t="s">
        <v>92</v>
      </c>
      <c r="C40" s="19"/>
      <c r="D40" s="193">
        <v>856</v>
      </c>
      <c r="E40" s="204">
        <v>7135850</v>
      </c>
      <c r="F40" s="195">
        <f t="shared" si="13"/>
        <v>346.13164532402016</v>
      </c>
      <c r="G40" s="196">
        <f t="shared" si="14"/>
        <v>8336.2733644859818</v>
      </c>
      <c r="H40" s="197">
        <v>3000</v>
      </c>
      <c r="I40" s="194">
        <v>29050635</v>
      </c>
      <c r="J40" s="195">
        <f t="shared" si="1"/>
        <v>1101.4880569834143</v>
      </c>
      <c r="K40" s="196">
        <f t="shared" si="6"/>
        <v>9683.5450000000001</v>
      </c>
      <c r="L40" s="196">
        <f t="shared" si="2"/>
        <v>3.1822807069613388</v>
      </c>
      <c r="M40" s="196">
        <f t="shared" si="7"/>
        <v>3.095975504921634</v>
      </c>
      <c r="N40" s="196">
        <f t="shared" si="3"/>
        <v>1347.2716355140183</v>
      </c>
      <c r="O40" s="198">
        <f t="shared" si="8"/>
        <v>1.1616155776817056</v>
      </c>
      <c r="P40" s="142"/>
      <c r="Q40" s="72"/>
      <c r="R40" s="72"/>
      <c r="S40" s="19"/>
      <c r="T40" s="121"/>
      <c r="U40" s="121"/>
      <c r="V40" s="121"/>
      <c r="W40" s="139"/>
    </row>
    <row r="41" spans="1:23" s="70" customFormat="1" outlineLevel="1">
      <c r="A41" s="192"/>
      <c r="B41" s="199" t="s">
        <v>250</v>
      </c>
      <c r="C41" s="19"/>
      <c r="D41" s="20">
        <f>D40</f>
        <v>856</v>
      </c>
      <c r="E41" s="200">
        <v>2054400</v>
      </c>
      <c r="F41" s="201">
        <f t="shared" si="13"/>
        <v>99.650756693830033</v>
      </c>
      <c r="G41" s="202">
        <f t="shared" si="14"/>
        <v>2400</v>
      </c>
      <c r="H41" s="203">
        <v>3000</v>
      </c>
      <c r="I41" s="200">
        <v>12296700</v>
      </c>
      <c r="J41" s="201">
        <f t="shared" si="1"/>
        <v>466.24344666847901</v>
      </c>
      <c r="K41" s="202">
        <f t="shared" si="6"/>
        <v>4098.8999999999996</v>
      </c>
      <c r="L41" s="196">
        <f t="shared" si="2"/>
        <v>4.6787747743951345</v>
      </c>
      <c r="M41" s="196">
        <f t="shared" si="7"/>
        <v>3.095975504921634</v>
      </c>
      <c r="N41" s="196">
        <f t="shared" si="3"/>
        <v>1698.8999999999996</v>
      </c>
      <c r="O41" s="198">
        <f t="shared" si="8"/>
        <v>1.7078749999999998</v>
      </c>
      <c r="P41" s="142"/>
      <c r="Q41" s="72"/>
      <c r="R41" s="72"/>
      <c r="S41" s="19"/>
      <c r="T41" s="121"/>
      <c r="U41" s="121"/>
      <c r="V41" s="121"/>
      <c r="W41" s="139"/>
    </row>
    <row r="42" spans="1:23" s="70" customFormat="1" outlineLevel="1">
      <c r="A42" s="192"/>
      <c r="B42" s="199" t="s">
        <v>251</v>
      </c>
      <c r="C42" s="19"/>
      <c r="D42" s="20">
        <f>D40</f>
        <v>856</v>
      </c>
      <c r="E42" s="200">
        <f>E40-E41</f>
        <v>5081450</v>
      </c>
      <c r="F42" s="201">
        <f t="shared" si="13"/>
        <v>246.48088863019015</v>
      </c>
      <c r="G42" s="202">
        <f t="shared" si="14"/>
        <v>5936.2733644859809</v>
      </c>
      <c r="H42" s="203">
        <v>3000</v>
      </c>
      <c r="I42" s="200">
        <v>16753935</v>
      </c>
      <c r="J42" s="201">
        <f t="shared" si="1"/>
        <v>635.24461031493524</v>
      </c>
      <c r="K42" s="202">
        <f t="shared" si="6"/>
        <v>5584.6450000000004</v>
      </c>
      <c r="L42" s="196">
        <f t="shared" si="2"/>
        <v>2.5772570597472582</v>
      </c>
      <c r="M42" s="196">
        <f t="shared" si="7"/>
        <v>3.095975504921634</v>
      </c>
      <c r="N42" s="196">
        <f t="shared" si="3"/>
        <v>-351.62836448598046</v>
      </c>
      <c r="O42" s="198">
        <f t="shared" si="8"/>
        <v>0.94076614352202637</v>
      </c>
      <c r="P42" s="142"/>
      <c r="Q42" s="72"/>
      <c r="R42" s="72"/>
      <c r="S42" s="19"/>
      <c r="T42" s="121"/>
      <c r="U42" s="121"/>
      <c r="V42" s="121"/>
      <c r="W42" s="139"/>
    </row>
    <row r="43" spans="1:23" s="70" customFormat="1">
      <c r="A43" s="192"/>
      <c r="B43" s="18" t="s">
        <v>120</v>
      </c>
      <c r="C43" s="19"/>
      <c r="D43" s="193">
        <v>2850</v>
      </c>
      <c r="E43" s="194">
        <v>4244210</v>
      </c>
      <c r="F43" s="195">
        <f t="shared" si="13"/>
        <v>205.86971284439269</v>
      </c>
      <c r="G43" s="196">
        <f t="shared" si="14"/>
        <v>1489.1964912280703</v>
      </c>
      <c r="H43" s="197">
        <v>738</v>
      </c>
      <c r="I43" s="194">
        <v>738000</v>
      </c>
      <c r="J43" s="195">
        <f t="shared" si="1"/>
        <v>27.982114196600513</v>
      </c>
      <c r="K43" s="196">
        <f t="shared" si="6"/>
        <v>1000</v>
      </c>
      <c r="L43" s="196">
        <f t="shared" si="2"/>
        <v>0.13592147096329263</v>
      </c>
      <c r="M43" s="196">
        <f t="shared" si="7"/>
        <v>0.22875022383311505</v>
      </c>
      <c r="N43" s="196">
        <f t="shared" si="3"/>
        <v>-489.19649122807027</v>
      </c>
      <c r="O43" s="198">
        <f t="shared" si="8"/>
        <v>0.67150305946218491</v>
      </c>
      <c r="P43" s="142"/>
      <c r="Q43" s="72"/>
      <c r="R43" s="72"/>
      <c r="S43" s="19"/>
      <c r="T43" s="121"/>
      <c r="U43" s="121"/>
      <c r="V43" s="121"/>
      <c r="W43" s="139"/>
    </row>
    <row r="44" spans="1:23" s="70" customFormat="1" outlineLevel="1">
      <c r="A44" s="192"/>
      <c r="B44" s="199" t="s">
        <v>250</v>
      </c>
      <c r="C44" s="19"/>
      <c r="D44" s="20">
        <f>D43</f>
        <v>2850</v>
      </c>
      <c r="E44" s="194">
        <f>E43-E45</f>
        <v>1995000</v>
      </c>
      <c r="F44" s="195">
        <f t="shared" si="13"/>
        <v>96.769499417927818</v>
      </c>
      <c r="G44" s="196">
        <f t="shared" si="14"/>
        <v>700</v>
      </c>
      <c r="H44" s="197"/>
      <c r="I44" s="194"/>
      <c r="J44" s="195"/>
      <c r="K44" s="196"/>
      <c r="L44" s="196"/>
      <c r="M44" s="196"/>
      <c r="N44" s="196"/>
      <c r="O44" s="198"/>
      <c r="P44" s="142"/>
      <c r="Q44" s="72"/>
      <c r="R44" s="72"/>
      <c r="S44" s="19"/>
      <c r="T44" s="121"/>
      <c r="U44" s="121"/>
      <c r="V44" s="121"/>
      <c r="W44" s="205"/>
    </row>
    <row r="45" spans="1:23" s="70" customFormat="1" outlineLevel="1">
      <c r="A45" s="192"/>
      <c r="B45" s="199" t="s">
        <v>251</v>
      </c>
      <c r="C45" s="19"/>
      <c r="D45" s="20">
        <f>D43</f>
        <v>2850</v>
      </c>
      <c r="E45" s="194">
        <v>2249210</v>
      </c>
      <c r="F45" s="195">
        <f t="shared" si="13"/>
        <v>109.10021342646488</v>
      </c>
      <c r="G45" s="196">
        <f t="shared" si="14"/>
        <v>789.19649122807016</v>
      </c>
      <c r="H45" s="197"/>
      <c r="I45" s="194"/>
      <c r="J45" s="195"/>
      <c r="K45" s="196"/>
      <c r="L45" s="196"/>
      <c r="M45" s="196"/>
      <c r="N45" s="196"/>
      <c r="O45" s="198"/>
      <c r="P45" s="142"/>
      <c r="Q45" s="72"/>
      <c r="R45" s="72"/>
      <c r="S45" s="19"/>
      <c r="T45" s="121"/>
      <c r="U45" s="121"/>
      <c r="V45" s="121"/>
      <c r="W45" s="205"/>
    </row>
    <row r="46" spans="1:23">
      <c r="A46" s="13" t="s">
        <v>218</v>
      </c>
      <c r="B46" s="14" t="s">
        <v>219</v>
      </c>
      <c r="C46" s="15"/>
      <c r="D46" s="221"/>
      <c r="E46" s="223">
        <f>SUM(E47:E62)</f>
        <v>131527016</v>
      </c>
      <c r="F46" s="223">
        <f t="shared" si="0"/>
        <v>6379.8513775708188</v>
      </c>
      <c r="G46" s="224"/>
      <c r="H46" s="225"/>
      <c r="I46" s="227">
        <f>SUM(I47:I60)</f>
        <v>178168537.30000001</v>
      </c>
      <c r="J46" s="227">
        <f t="shared" si="1"/>
        <v>6755.4638983331688</v>
      </c>
      <c r="K46" s="214"/>
      <c r="L46" s="214">
        <f t="shared" si="2"/>
        <v>1.0588748073478427</v>
      </c>
      <c r="M46" s="214"/>
      <c r="N46" s="214">
        <f t="shared" si="3"/>
        <v>0</v>
      </c>
      <c r="O46" s="228" t="e">
        <f t="shared" si="8"/>
        <v>#DIV/0!</v>
      </c>
      <c r="P46" s="229"/>
      <c r="Q46" s="244">
        <v>201273728.48268071</v>
      </c>
      <c r="R46" s="244">
        <f t="shared" si="9"/>
        <v>5797.3940202222884</v>
      </c>
      <c r="S46" s="234" t="e">
        <f t="shared" si="10"/>
        <v>#DIV/0!</v>
      </c>
      <c r="T46" s="232">
        <f t="shared" si="4"/>
        <v>0.85817852148580454</v>
      </c>
      <c r="U46" s="233" t="e">
        <f t="shared" si="11"/>
        <v>#DIV/0!</v>
      </c>
      <c r="V46" s="232" t="e">
        <f t="shared" si="12"/>
        <v>#DIV/0!</v>
      </c>
      <c r="W46" s="48"/>
    </row>
    <row r="47" spans="1:23" ht="26.25" customHeight="1" outlineLevel="1">
      <c r="A47" s="25"/>
      <c r="B47" s="26" t="s">
        <v>220</v>
      </c>
      <c r="C47" s="27"/>
      <c r="D47" s="245"/>
      <c r="E47" s="200">
        <v>9574810</v>
      </c>
      <c r="F47" s="195">
        <f t="shared" si="0"/>
        <v>464.43587504850603</v>
      </c>
      <c r="G47" s="196"/>
      <c r="H47" s="197"/>
      <c r="I47" s="200">
        <v>15807063</v>
      </c>
      <c r="J47" s="195">
        <f t="shared" si="1"/>
        <v>599.34287531010659</v>
      </c>
      <c r="K47" s="196"/>
      <c r="L47" s="196">
        <f t="shared" si="2"/>
        <v>1.290474977299096</v>
      </c>
      <c r="M47" s="196" t="e">
        <f t="shared" ref="M47:M62" si="15">H47/D47</f>
        <v>#DIV/0!</v>
      </c>
      <c r="N47" s="196">
        <f t="shared" si="3"/>
        <v>0</v>
      </c>
      <c r="O47" s="198" t="e">
        <f t="shared" si="8"/>
        <v>#DIV/0!</v>
      </c>
      <c r="P47" s="240"/>
      <c r="Q47" s="237">
        <v>16902547.858148422</v>
      </c>
      <c r="R47" s="237">
        <f t="shared" si="9"/>
        <v>486.85305637284227</v>
      </c>
      <c r="S47" s="196" t="e">
        <f t="shared" si="10"/>
        <v>#DIV/0!</v>
      </c>
      <c r="T47" s="242">
        <f t="shared" si="4"/>
        <v>0.81231141042752719</v>
      </c>
      <c r="U47" s="243" t="e">
        <f t="shared" si="11"/>
        <v>#DIV/0!</v>
      </c>
      <c r="V47" s="242" t="e">
        <f t="shared" si="12"/>
        <v>#DIV/0!</v>
      </c>
      <c r="W47" s="22"/>
    </row>
    <row r="48" spans="1:23" ht="26.25" customHeight="1" outlineLevel="1">
      <c r="A48" s="25"/>
      <c r="B48" s="26" t="s">
        <v>221</v>
      </c>
      <c r="C48" s="27"/>
      <c r="D48" s="245"/>
      <c r="E48" s="246">
        <v>16993602</v>
      </c>
      <c r="F48" s="195">
        <f t="shared" si="0"/>
        <v>824.29190919674045</v>
      </c>
      <c r="G48" s="196"/>
      <c r="H48" s="197"/>
      <c r="I48" s="246">
        <v>25223846</v>
      </c>
      <c r="J48" s="195">
        <f t="shared" si="1"/>
        <v>956.39097459277104</v>
      </c>
      <c r="K48" s="196"/>
      <c r="L48" s="196">
        <f t="shared" si="2"/>
        <v>1.1602576270883929</v>
      </c>
      <c r="M48" s="196" t="e">
        <f t="shared" si="15"/>
        <v>#DIV/0!</v>
      </c>
      <c r="N48" s="196">
        <f t="shared" si="3"/>
        <v>0</v>
      </c>
      <c r="O48" s="198" t="e">
        <f t="shared" si="8"/>
        <v>#DIV/0!</v>
      </c>
      <c r="P48" s="240"/>
      <c r="Q48" s="247">
        <v>26488685.881411344</v>
      </c>
      <c r="R48" s="247">
        <f t="shared" si="9"/>
        <v>762.96767735216235</v>
      </c>
      <c r="S48" s="196" t="e">
        <f t="shared" si="10"/>
        <v>#DIV/0!</v>
      </c>
      <c r="T48" s="242">
        <f t="shared" si="4"/>
        <v>0.79775708640185794</v>
      </c>
      <c r="U48" s="243" t="e">
        <f t="shared" si="11"/>
        <v>#DIV/0!</v>
      </c>
      <c r="V48" s="242" t="e">
        <f t="shared" si="12"/>
        <v>#DIV/0!</v>
      </c>
      <c r="W48" s="22"/>
    </row>
    <row r="49" spans="1:23" ht="51.75" customHeight="1" outlineLevel="1">
      <c r="A49" s="25"/>
      <c r="B49" s="26" t="s">
        <v>222</v>
      </c>
      <c r="C49" s="27"/>
      <c r="D49" s="245"/>
      <c r="E49" s="246">
        <v>20829847</v>
      </c>
      <c r="F49" s="195">
        <f t="shared" si="0"/>
        <v>1010.3728657353512</v>
      </c>
      <c r="G49" s="196"/>
      <c r="H49" s="197"/>
      <c r="I49" s="246">
        <v>25083711</v>
      </c>
      <c r="J49" s="195">
        <f t="shared" si="1"/>
        <v>951.07759576764829</v>
      </c>
      <c r="K49" s="196"/>
      <c r="L49" s="196">
        <f t="shared" si="2"/>
        <v>0.94131347745117078</v>
      </c>
      <c r="M49" s="196" t="e">
        <f t="shared" si="15"/>
        <v>#DIV/0!</v>
      </c>
      <c r="N49" s="196">
        <f t="shared" si="3"/>
        <v>0</v>
      </c>
      <c r="O49" s="198" t="e">
        <f t="shared" si="8"/>
        <v>#DIV/0!</v>
      </c>
      <c r="P49" s="240"/>
      <c r="Q49" s="247">
        <v>26350836.538810164</v>
      </c>
      <c r="R49" s="247">
        <f t="shared" si="9"/>
        <v>758.99712957867871</v>
      </c>
      <c r="S49" s="196" t="e">
        <f t="shared" si="10"/>
        <v>#DIV/0!</v>
      </c>
      <c r="T49" s="242">
        <f t="shared" si="4"/>
        <v>0.79803912210345507</v>
      </c>
      <c r="U49" s="243" t="e">
        <f t="shared" si="11"/>
        <v>#DIV/0!</v>
      </c>
      <c r="V49" s="242" t="e">
        <f t="shared" si="12"/>
        <v>#DIV/0!</v>
      </c>
      <c r="W49" s="22"/>
    </row>
    <row r="50" spans="1:23" outlineLevel="1">
      <c r="A50" s="25"/>
      <c r="B50" s="26" t="s">
        <v>223</v>
      </c>
      <c r="C50" s="27"/>
      <c r="D50" s="245"/>
      <c r="E50" s="246">
        <v>22469798</v>
      </c>
      <c r="F50" s="195">
        <f t="shared" si="0"/>
        <v>1089.9203531237874</v>
      </c>
      <c r="G50" s="196"/>
      <c r="H50" s="197"/>
      <c r="I50" s="246">
        <v>39766905</v>
      </c>
      <c r="J50" s="195">
        <f t="shared" si="1"/>
        <v>1507.8076923514416</v>
      </c>
      <c r="K50" s="196"/>
      <c r="L50" s="196">
        <f t="shared" si="2"/>
        <v>1.3834108960622307</v>
      </c>
      <c r="M50" s="196" t="e">
        <f t="shared" si="15"/>
        <v>#DIV/0!</v>
      </c>
      <c r="N50" s="196">
        <f t="shared" si="3"/>
        <v>0</v>
      </c>
      <c r="O50" s="198" t="e">
        <f t="shared" si="8"/>
        <v>#DIV/0!</v>
      </c>
      <c r="P50" s="240"/>
      <c r="Q50" s="247">
        <v>50254143.742638484</v>
      </c>
      <c r="R50" s="247">
        <f t="shared" si="9"/>
        <v>1447.4967727843989</v>
      </c>
      <c r="S50" s="196" t="e">
        <f t="shared" si="10"/>
        <v>#DIV/0!</v>
      </c>
      <c r="T50" s="242">
        <f t="shared" si="4"/>
        <v>0.96000092062603348</v>
      </c>
      <c r="U50" s="243" t="e">
        <f t="shared" si="11"/>
        <v>#DIV/0!</v>
      </c>
      <c r="V50" s="242" t="e">
        <f t="shared" si="12"/>
        <v>#DIV/0!</v>
      </c>
      <c r="W50" s="22"/>
    </row>
    <row r="51" spans="1:23" ht="26.25" customHeight="1" outlineLevel="1">
      <c r="A51" s="25"/>
      <c r="B51" s="26" t="s">
        <v>224</v>
      </c>
      <c r="C51" s="27"/>
      <c r="D51" s="245"/>
      <c r="E51" s="246">
        <v>5997175</v>
      </c>
      <c r="F51" s="195">
        <f t="shared" si="0"/>
        <v>290.89905898331392</v>
      </c>
      <c r="G51" s="196"/>
      <c r="H51" s="197">
        <v>502</v>
      </c>
      <c r="I51" s="246">
        <v>6845651</v>
      </c>
      <c r="J51" s="195">
        <f t="shared" si="1"/>
        <v>259.56068839034214</v>
      </c>
      <c r="K51" s="196">
        <f t="shared" ref="K51" si="16">I51/H51</f>
        <v>13636.754980079681</v>
      </c>
      <c r="L51" s="196">
        <f t="shared" si="2"/>
        <v>0.8922706360670305</v>
      </c>
      <c r="M51" s="196" t="e">
        <f t="shared" si="15"/>
        <v>#DIV/0!</v>
      </c>
      <c r="N51" s="196">
        <f t="shared" si="3"/>
        <v>13636.754980079681</v>
      </c>
      <c r="O51" s="198" t="e">
        <f t="shared" si="8"/>
        <v>#DIV/0!</v>
      </c>
      <c r="P51" s="240">
        <v>504</v>
      </c>
      <c r="Q51" s="247">
        <v>7172521.9995836802</v>
      </c>
      <c r="R51" s="247">
        <f t="shared" si="9"/>
        <v>206.59395771007092</v>
      </c>
      <c r="S51" s="196">
        <f t="shared" si="10"/>
        <v>14231.194443618413</v>
      </c>
      <c r="T51" s="242">
        <f t="shared" si="4"/>
        <v>0.79593700799322575</v>
      </c>
      <c r="U51" s="243">
        <f t="shared" si="11"/>
        <v>3.5294448361495943E-2</v>
      </c>
      <c r="V51" s="242">
        <f t="shared" si="12"/>
        <v>594.43946353873253</v>
      </c>
      <c r="W51" s="22"/>
    </row>
    <row r="52" spans="1:23" outlineLevel="1">
      <c r="A52" s="25"/>
      <c r="B52" s="26" t="s">
        <v>225</v>
      </c>
      <c r="C52" s="27"/>
      <c r="D52" s="245"/>
      <c r="E52" s="246">
        <v>8638170</v>
      </c>
      <c r="F52" s="195">
        <f t="shared" si="0"/>
        <v>419.00320139697322</v>
      </c>
      <c r="G52" s="196"/>
      <c r="H52" s="197"/>
      <c r="I52" s="246">
        <v>10004272</v>
      </c>
      <c r="J52" s="195">
        <f t="shared" si="1"/>
        <v>379.3234167450583</v>
      </c>
      <c r="K52" s="196"/>
      <c r="L52" s="196">
        <f t="shared" si="2"/>
        <v>0.90529956687772084</v>
      </c>
      <c r="M52" s="196" t="e">
        <f t="shared" si="15"/>
        <v>#DIV/0!</v>
      </c>
      <c r="N52" s="196">
        <f t="shared" si="3"/>
        <v>0</v>
      </c>
      <c r="O52" s="198" t="e">
        <f t="shared" si="8"/>
        <v>#DIV/0!</v>
      </c>
      <c r="P52" s="240"/>
      <c r="Q52" s="247">
        <v>10601971.77951004</v>
      </c>
      <c r="R52" s="247">
        <f t="shared" si="9"/>
        <v>305.37421977745009</v>
      </c>
      <c r="S52" s="196" t="e">
        <f t="shared" si="10"/>
        <v>#DIV/0!</v>
      </c>
      <c r="T52" s="242">
        <f t="shared" si="4"/>
        <v>0.80504974461592715</v>
      </c>
      <c r="U52" s="243" t="e">
        <f t="shared" si="11"/>
        <v>#DIV/0!</v>
      </c>
      <c r="V52" s="242" t="e">
        <f t="shared" si="12"/>
        <v>#DIV/0!</v>
      </c>
      <c r="W52" s="22"/>
    </row>
    <row r="53" spans="1:23" outlineLevel="1">
      <c r="A53" s="25"/>
      <c r="B53" s="26" t="s">
        <v>226</v>
      </c>
      <c r="C53" s="27"/>
      <c r="D53" s="245"/>
      <c r="E53" s="246">
        <v>8857088</v>
      </c>
      <c r="F53" s="195">
        <f t="shared" si="0"/>
        <v>429.62204113310048</v>
      </c>
      <c r="G53" s="196"/>
      <c r="H53" s="197"/>
      <c r="I53" s="246">
        <v>10746507</v>
      </c>
      <c r="J53" s="195">
        <f t="shared" si="1"/>
        <v>407.46610581106609</v>
      </c>
      <c r="K53" s="196"/>
      <c r="L53" s="196">
        <f t="shared" si="2"/>
        <v>0.94842923965539683</v>
      </c>
      <c r="M53" s="196" t="e">
        <f t="shared" si="15"/>
        <v>#DIV/0!</v>
      </c>
      <c r="N53" s="196">
        <f t="shared" si="3"/>
        <v>0</v>
      </c>
      <c r="O53" s="198" t="e">
        <f t="shared" si="8"/>
        <v>#DIV/0!</v>
      </c>
      <c r="P53" s="240"/>
      <c r="Q53" s="247">
        <v>10786218.405718362</v>
      </c>
      <c r="R53" s="247">
        <f t="shared" si="9"/>
        <v>310.68117313434669</v>
      </c>
      <c r="S53" s="196" t="e">
        <f t="shared" si="10"/>
        <v>#DIV/0!</v>
      </c>
      <c r="T53" s="242">
        <f t="shared" si="4"/>
        <v>0.7624712060796619</v>
      </c>
      <c r="U53" s="243" t="e">
        <f t="shared" si="11"/>
        <v>#DIV/0!</v>
      </c>
      <c r="V53" s="242" t="e">
        <f t="shared" si="12"/>
        <v>#DIV/0!</v>
      </c>
      <c r="W53" s="22"/>
    </row>
    <row r="54" spans="1:23" outlineLevel="1">
      <c r="A54" s="25"/>
      <c r="B54" s="26" t="s">
        <v>227</v>
      </c>
      <c r="C54" s="27"/>
      <c r="D54" s="245"/>
      <c r="E54" s="246">
        <v>9972000</v>
      </c>
      <c r="F54" s="195">
        <f t="shared" si="0"/>
        <v>483.70197904540163</v>
      </c>
      <c r="G54" s="196"/>
      <c r="H54" s="197"/>
      <c r="I54" s="246">
        <v>13615845</v>
      </c>
      <c r="J54" s="195">
        <f t="shared" si="1"/>
        <v>516.26033831058555</v>
      </c>
      <c r="K54" s="196"/>
      <c r="L54" s="196">
        <f t="shared" si="2"/>
        <v>1.0673107836553382</v>
      </c>
      <c r="M54" s="196" t="e">
        <f t="shared" si="15"/>
        <v>#DIV/0!</v>
      </c>
      <c r="N54" s="196">
        <f t="shared" si="3"/>
        <v>0</v>
      </c>
      <c r="O54" s="198" t="e">
        <f t="shared" si="8"/>
        <v>#DIV/0!</v>
      </c>
      <c r="P54" s="240"/>
      <c r="Q54" s="247">
        <v>13615845</v>
      </c>
      <c r="R54" s="247">
        <f t="shared" si="9"/>
        <v>392.18440965118754</v>
      </c>
      <c r="S54" s="196" t="e">
        <f t="shared" si="10"/>
        <v>#DIV/0!</v>
      </c>
      <c r="T54" s="242">
        <f t="shared" si="4"/>
        <v>0.75966403100918989</v>
      </c>
      <c r="U54" s="243" t="e">
        <f t="shared" si="11"/>
        <v>#DIV/0!</v>
      </c>
      <c r="V54" s="242" t="e">
        <f t="shared" si="12"/>
        <v>#DIV/0!</v>
      </c>
      <c r="W54" s="22"/>
    </row>
    <row r="55" spans="1:23" ht="26.25" customHeight="1" outlineLevel="1">
      <c r="A55" s="25"/>
      <c r="B55" s="26" t="s">
        <v>228</v>
      </c>
      <c r="C55" s="27"/>
      <c r="D55" s="245"/>
      <c r="E55" s="246">
        <v>812999</v>
      </c>
      <c r="F55" s="195">
        <f t="shared" si="0"/>
        <v>39.435341482343809</v>
      </c>
      <c r="G55" s="196"/>
      <c r="H55" s="197"/>
      <c r="I55" s="246">
        <v>3410157</v>
      </c>
      <c r="J55" s="195">
        <f t="shared" si="1"/>
        <v>129.30000352620138</v>
      </c>
      <c r="K55" s="196"/>
      <c r="L55" s="196">
        <f t="shared" si="2"/>
        <v>3.2787849341710973</v>
      </c>
      <c r="M55" s="196" t="e">
        <f t="shared" si="15"/>
        <v>#DIV/0!</v>
      </c>
      <c r="N55" s="196">
        <f t="shared" si="3"/>
        <v>0</v>
      </c>
      <c r="O55" s="198" t="e">
        <f t="shared" si="8"/>
        <v>#DIV/0!</v>
      </c>
      <c r="P55" s="240"/>
      <c r="Q55" s="247">
        <v>3410156.91</v>
      </c>
      <c r="R55" s="247">
        <f t="shared" si="9"/>
        <v>98.224559295898842</v>
      </c>
      <c r="S55" s="196" t="e">
        <f t="shared" si="10"/>
        <v>#DIV/0!</v>
      </c>
      <c r="T55" s="242">
        <f t="shared" si="4"/>
        <v>0.75966401096032909</v>
      </c>
      <c r="U55" s="243" t="e">
        <f t="shared" si="11"/>
        <v>#DIV/0!</v>
      </c>
      <c r="V55" s="242" t="e">
        <f t="shared" si="12"/>
        <v>#DIV/0!</v>
      </c>
      <c r="W55" s="22"/>
    </row>
    <row r="56" spans="1:23" outlineLevel="1">
      <c r="A56" s="25"/>
      <c r="B56" s="26" t="s">
        <v>229</v>
      </c>
      <c r="C56" s="27"/>
      <c r="D56" s="245"/>
      <c r="E56" s="246">
        <v>9689359</v>
      </c>
      <c r="F56" s="195">
        <f t="shared" si="0"/>
        <v>469.99219053162591</v>
      </c>
      <c r="G56" s="196"/>
      <c r="H56" s="197"/>
      <c r="I56" s="246">
        <f>470*26373.99</f>
        <v>12395775.300000001</v>
      </c>
      <c r="J56" s="195">
        <f t="shared" si="1"/>
        <v>470</v>
      </c>
      <c r="K56" s="196"/>
      <c r="L56" s="196">
        <f t="shared" si="2"/>
        <v>1.00001661616625</v>
      </c>
      <c r="M56" s="196" t="e">
        <f t="shared" si="15"/>
        <v>#DIV/0!</v>
      </c>
      <c r="N56" s="196">
        <f t="shared" si="3"/>
        <v>0</v>
      </c>
      <c r="O56" s="198" t="e">
        <f t="shared" si="8"/>
        <v>#DIV/0!</v>
      </c>
      <c r="P56" s="240"/>
      <c r="Q56" s="247">
        <v>12395775.300000001</v>
      </c>
      <c r="R56" s="247">
        <f t="shared" si="9"/>
        <v>357.04209457431926</v>
      </c>
      <c r="S56" s="196" t="e">
        <f t="shared" si="10"/>
        <v>#DIV/0!</v>
      </c>
      <c r="T56" s="242">
        <f t="shared" si="4"/>
        <v>0.75966403100918989</v>
      </c>
      <c r="U56" s="243" t="e">
        <f t="shared" si="11"/>
        <v>#DIV/0!</v>
      </c>
      <c r="V56" s="242" t="e">
        <f t="shared" si="12"/>
        <v>#DIV/0!</v>
      </c>
      <c r="W56" s="22"/>
    </row>
    <row r="57" spans="1:23" outlineLevel="1">
      <c r="A57" s="25"/>
      <c r="B57" s="26" t="s">
        <v>230</v>
      </c>
      <c r="C57" s="27"/>
      <c r="D57" s="245"/>
      <c r="E57" s="246">
        <v>2668203</v>
      </c>
      <c r="F57" s="195">
        <f t="shared" si="0"/>
        <v>129.42389406286381</v>
      </c>
      <c r="G57" s="196"/>
      <c r="H57" s="197"/>
      <c r="I57" s="246">
        <v>3428619</v>
      </c>
      <c r="J57" s="195">
        <f t="shared" si="1"/>
        <v>130.00001137484315</v>
      </c>
      <c r="K57" s="196"/>
      <c r="L57" s="196">
        <f t="shared" si="2"/>
        <v>1.0044513983770225</v>
      </c>
      <c r="M57" s="196" t="e">
        <f t="shared" si="15"/>
        <v>#DIV/0!</v>
      </c>
      <c r="N57" s="196">
        <f t="shared" si="3"/>
        <v>0</v>
      </c>
      <c r="O57" s="198" t="e">
        <f t="shared" si="8"/>
        <v>#DIV/0!</v>
      </c>
      <c r="P57" s="240"/>
      <c r="Q57" s="247">
        <v>3666234</v>
      </c>
      <c r="R57" s="247">
        <f t="shared" si="9"/>
        <v>105.6004836228021</v>
      </c>
      <c r="S57" s="196" t="e">
        <f t="shared" si="10"/>
        <v>#DIV/0!</v>
      </c>
      <c r="T57" s="242">
        <f t="shared" si="4"/>
        <v>0.81231134140683081</v>
      </c>
      <c r="U57" s="243" t="e">
        <f t="shared" si="11"/>
        <v>#DIV/0!</v>
      </c>
      <c r="V57" s="242" t="e">
        <f t="shared" si="12"/>
        <v>#DIV/0!</v>
      </c>
      <c r="W57" s="22"/>
    </row>
    <row r="58" spans="1:23" outlineLevel="1">
      <c r="A58" s="25"/>
      <c r="B58" s="26" t="s">
        <v>231</v>
      </c>
      <c r="C58" s="27"/>
      <c r="D58" s="245"/>
      <c r="E58" s="246">
        <v>8289790</v>
      </c>
      <c r="F58" s="195">
        <f t="shared" si="0"/>
        <v>402.10467597982148</v>
      </c>
      <c r="G58" s="196"/>
      <c r="H58" s="197"/>
      <c r="I58" s="246">
        <v>11340186</v>
      </c>
      <c r="J58" s="195">
        <f t="shared" si="1"/>
        <v>429.9761242041875</v>
      </c>
      <c r="K58" s="196"/>
      <c r="L58" s="196">
        <f t="shared" si="2"/>
        <v>1.0693139122454887</v>
      </c>
      <c r="M58" s="196" t="e">
        <f t="shared" si="15"/>
        <v>#DIV/0!</v>
      </c>
      <c r="N58" s="196">
        <f t="shared" si="3"/>
        <v>0</v>
      </c>
      <c r="O58" s="198" t="e">
        <f t="shared" si="8"/>
        <v>#DIV/0!</v>
      </c>
      <c r="P58" s="240"/>
      <c r="Q58" s="247">
        <v>12030212</v>
      </c>
      <c r="R58" s="247">
        <f t="shared" si="9"/>
        <v>346.51258083494866</v>
      </c>
      <c r="S58" s="196" t="e">
        <f t="shared" si="10"/>
        <v>#DIV/0!</v>
      </c>
      <c r="T58" s="242">
        <f t="shared" si="4"/>
        <v>0.80588795825880888</v>
      </c>
      <c r="U58" s="243" t="e">
        <f t="shared" si="11"/>
        <v>#DIV/0!</v>
      </c>
      <c r="V58" s="242" t="e">
        <f t="shared" si="12"/>
        <v>#DIV/0!</v>
      </c>
      <c r="W58" s="22"/>
    </row>
    <row r="59" spans="1:23" outlineLevel="1">
      <c r="A59" s="25"/>
      <c r="B59" s="28" t="s">
        <v>232</v>
      </c>
      <c r="C59" s="29"/>
      <c r="D59" s="245"/>
      <c r="E59" s="246"/>
      <c r="F59" s="195"/>
      <c r="G59" s="196"/>
      <c r="H59" s="197"/>
      <c r="I59" s="246"/>
      <c r="J59" s="195"/>
      <c r="K59" s="196"/>
      <c r="L59" s="196"/>
      <c r="M59" s="196"/>
      <c r="N59" s="196"/>
      <c r="O59" s="198"/>
      <c r="P59" s="240"/>
      <c r="Q59" s="247"/>
      <c r="R59" s="247"/>
      <c r="S59" s="196"/>
      <c r="T59" s="242"/>
      <c r="U59" s="243"/>
      <c r="V59" s="242"/>
      <c r="W59" s="22"/>
    </row>
    <row r="60" spans="1:23" ht="30" customHeight="1" outlineLevel="1">
      <c r="A60" s="25"/>
      <c r="B60" s="30" t="s">
        <v>233</v>
      </c>
      <c r="C60" s="31"/>
      <c r="D60" s="248"/>
      <c r="E60" s="246"/>
      <c r="F60" s="195">
        <f t="shared" si="0"/>
        <v>0</v>
      </c>
      <c r="G60" s="196"/>
      <c r="H60" s="197"/>
      <c r="I60" s="246">
        <v>500000</v>
      </c>
      <c r="J60" s="195">
        <f t="shared" si="1"/>
        <v>18.958071948916338</v>
      </c>
      <c r="K60" s="196"/>
      <c r="L60" s="196" t="e">
        <f t="shared" si="2"/>
        <v>#DIV/0!</v>
      </c>
      <c r="M60" s="196" t="e">
        <f t="shared" si="15"/>
        <v>#DIV/0!</v>
      </c>
      <c r="N60" s="196">
        <f t="shared" si="3"/>
        <v>0</v>
      </c>
      <c r="O60" s="198" t="e">
        <f t="shared" si="8"/>
        <v>#DIV/0!</v>
      </c>
      <c r="P60" s="240"/>
      <c r="Q60" s="247">
        <v>534651.7534889488</v>
      </c>
      <c r="R60" s="247">
        <f t="shared" si="9"/>
        <v>15.399858202780335</v>
      </c>
      <c r="S60" s="196" t="e">
        <f t="shared" si="10"/>
        <v>#DIV/0!</v>
      </c>
      <c r="T60" s="242">
        <f t="shared" si="4"/>
        <v>0.81231141248309302</v>
      </c>
      <c r="U60" s="243" t="e">
        <f t="shared" si="11"/>
        <v>#DIV/0!</v>
      </c>
      <c r="V60" s="242" t="e">
        <f t="shared" si="12"/>
        <v>#DIV/0!</v>
      </c>
      <c r="W60" s="22"/>
    </row>
    <row r="61" spans="1:23" ht="30" customHeight="1" outlineLevel="1">
      <c r="A61" s="25"/>
      <c r="B61" s="30" t="s">
        <v>234</v>
      </c>
      <c r="C61" s="31"/>
      <c r="D61" s="248"/>
      <c r="E61" s="246">
        <v>319500</v>
      </c>
      <c r="F61" s="195">
        <f t="shared" si="0"/>
        <v>15.497671711292201</v>
      </c>
      <c r="G61" s="196"/>
      <c r="H61" s="197"/>
      <c r="I61" s="246"/>
      <c r="J61" s="195"/>
      <c r="K61" s="196"/>
      <c r="L61" s="196">
        <f t="shared" si="2"/>
        <v>0</v>
      </c>
      <c r="M61" s="196" t="e">
        <f t="shared" si="15"/>
        <v>#DIV/0!</v>
      </c>
      <c r="N61" s="196">
        <f t="shared" si="3"/>
        <v>0</v>
      </c>
      <c r="O61" s="198" t="e">
        <f t="shared" si="8"/>
        <v>#DIV/0!</v>
      </c>
      <c r="P61" s="240"/>
      <c r="Q61" s="247"/>
      <c r="R61" s="247">
        <f t="shared" si="9"/>
        <v>0</v>
      </c>
      <c r="S61" s="196" t="e">
        <f t="shared" si="10"/>
        <v>#DIV/0!</v>
      </c>
      <c r="T61" s="242" t="e">
        <f t="shared" si="4"/>
        <v>#DIV/0!</v>
      </c>
      <c r="U61" s="243" t="e">
        <f t="shared" si="11"/>
        <v>#DIV/0!</v>
      </c>
      <c r="V61" s="242" t="e">
        <f t="shared" si="12"/>
        <v>#DIV/0!</v>
      </c>
      <c r="W61" s="22"/>
    </row>
    <row r="62" spans="1:23" outlineLevel="1">
      <c r="A62" s="25"/>
      <c r="B62" s="26" t="s">
        <v>235</v>
      </c>
      <c r="C62" s="27"/>
      <c r="D62" s="245"/>
      <c r="E62" s="246">
        <v>6414675</v>
      </c>
      <c r="F62" s="195">
        <f t="shared" si="0"/>
        <v>311.15032013969733</v>
      </c>
      <c r="G62" s="196"/>
      <c r="H62" s="197"/>
      <c r="I62" s="246"/>
      <c r="J62" s="195">
        <f>I62/$H$5</f>
        <v>0</v>
      </c>
      <c r="K62" s="196"/>
      <c r="L62" s="196">
        <f t="shared" si="2"/>
        <v>0</v>
      </c>
      <c r="M62" s="196" t="e">
        <f t="shared" si="15"/>
        <v>#DIV/0!</v>
      </c>
      <c r="N62" s="196">
        <f t="shared" si="3"/>
        <v>0</v>
      </c>
      <c r="O62" s="198" t="e">
        <f t="shared" si="8"/>
        <v>#DIV/0!</v>
      </c>
      <c r="P62" s="240"/>
      <c r="Q62" s="247"/>
      <c r="R62" s="247">
        <f t="shared" si="9"/>
        <v>0</v>
      </c>
      <c r="S62" s="196" t="e">
        <f t="shared" si="10"/>
        <v>#DIV/0!</v>
      </c>
      <c r="T62" s="242" t="e">
        <f t="shared" si="4"/>
        <v>#DIV/0!</v>
      </c>
      <c r="U62" s="243" t="e">
        <f t="shared" si="11"/>
        <v>#DIV/0!</v>
      </c>
      <c r="V62" s="242" t="e">
        <f t="shared" si="12"/>
        <v>#DIV/0!</v>
      </c>
      <c r="W62" s="22"/>
    </row>
    <row r="63" spans="1:23" ht="15.75" thickBot="1">
      <c r="A63" s="32"/>
      <c r="B63" s="33" t="s">
        <v>21</v>
      </c>
      <c r="C63" s="34"/>
      <c r="D63" s="249"/>
      <c r="E63" s="250">
        <f>E8+E9+E10+E35+E11+E12+E13+E16+E19+E46</f>
        <v>586033482.30999994</v>
      </c>
      <c r="F63" s="251">
        <f>F46+F19+F16+F13+F12+F11+F35+F10+F9+F8</f>
        <v>28426.148734478073</v>
      </c>
      <c r="G63" s="252"/>
      <c r="H63" s="253"/>
      <c r="I63" s="250">
        <f>I8+I9+I10+I35+I11+I12+I13+I16+I19+I46</f>
        <v>860586498.39999986</v>
      </c>
      <c r="J63" s="251">
        <f>J46+J19+J16+J13+J12+J11+J35+J10+J9+J8</f>
        <v>32630.121509866349</v>
      </c>
      <c r="K63" s="252"/>
      <c r="L63" s="252">
        <f t="shared" si="2"/>
        <v>1.1478910426683753</v>
      </c>
      <c r="M63" s="252"/>
      <c r="N63" s="252">
        <f t="shared" si="3"/>
        <v>0</v>
      </c>
      <c r="O63" s="254" t="e">
        <f t="shared" si="8"/>
        <v>#DIV/0!</v>
      </c>
      <c r="P63" s="255"/>
      <c r="Q63" s="250">
        <f>Q8+Q9+Q10+Q35+Q11+Q12+Q13+Q16+Q19+Q46</f>
        <v>934283314.86417353</v>
      </c>
      <c r="R63" s="250">
        <f>R46+R19+R16+R13+R12+R11+R35+R10+R9+R8</f>
        <v>26910.658155036315</v>
      </c>
      <c r="S63" s="252" t="e">
        <f t="shared" si="10"/>
        <v>#DIV/0!</v>
      </c>
      <c r="T63" s="256">
        <f t="shared" si="4"/>
        <v>0.82471829431892729</v>
      </c>
      <c r="U63" s="257" t="e">
        <f t="shared" si="11"/>
        <v>#DIV/0!</v>
      </c>
      <c r="V63" s="256" t="e">
        <f t="shared" si="12"/>
        <v>#DIV/0!</v>
      </c>
      <c r="W63" s="35"/>
    </row>
    <row r="64" spans="1:23">
      <c r="A64" s="36"/>
      <c r="B64" s="37"/>
      <c r="C64" s="38"/>
      <c r="D64" s="37"/>
      <c r="E64" s="39"/>
      <c r="F64" s="39"/>
      <c r="G64" s="39"/>
      <c r="H64" s="38"/>
      <c r="I64" s="39"/>
      <c r="J64" s="38"/>
      <c r="K64" s="38"/>
      <c r="M64" s="44"/>
      <c r="P64" s="39"/>
      <c r="Q64" s="39"/>
      <c r="R64" s="39"/>
      <c r="S64" s="38"/>
    </row>
    <row r="65" spans="2:13" ht="15.75">
      <c r="B65" s="40"/>
      <c r="C65" s="41"/>
      <c r="D65" s="40"/>
      <c r="M65" s="44"/>
    </row>
    <row r="66" spans="2:13">
      <c r="M66" s="44"/>
    </row>
    <row r="67" spans="2:13">
      <c r="M67" s="44"/>
    </row>
    <row r="68" spans="2:13">
      <c r="M68" s="44"/>
    </row>
    <row r="69" spans="2:13">
      <c r="M69" s="44"/>
    </row>
    <row r="70" spans="2:13">
      <c r="M70" s="44"/>
    </row>
    <row r="71" spans="2:13">
      <c r="M71" s="44"/>
    </row>
    <row r="72" spans="2:13">
      <c r="M72" s="44"/>
    </row>
  </sheetData>
  <mergeCells count="25">
    <mergeCell ref="P6:S6"/>
    <mergeCell ref="B3:C3"/>
    <mergeCell ref="D3:G3"/>
    <mergeCell ref="H3:K3"/>
    <mergeCell ref="P3:S3"/>
    <mergeCell ref="B4:C4"/>
    <mergeCell ref="D4:G4"/>
    <mergeCell ref="H4:K4"/>
    <mergeCell ref="P4:S4"/>
    <mergeCell ref="U3:U7"/>
    <mergeCell ref="V3:V7"/>
    <mergeCell ref="W3:W7"/>
    <mergeCell ref="O3:O7"/>
    <mergeCell ref="A3:A7"/>
    <mergeCell ref="L3:L7"/>
    <mergeCell ref="M3:M7"/>
    <mergeCell ref="N3:N7"/>
    <mergeCell ref="T3:T7"/>
    <mergeCell ref="B5:C5"/>
    <mergeCell ref="D5:G5"/>
    <mergeCell ref="H5:K5"/>
    <mergeCell ref="P5:S5"/>
    <mergeCell ref="B6:C6"/>
    <mergeCell ref="D6:G6"/>
    <mergeCell ref="H6:K6"/>
  </mergeCells>
  <conditionalFormatting sqref="W8:W35">
    <cfRule type="cellIs" dxfId="11" priority="21" operator="greaterThan">
      <formula>1.05</formula>
    </cfRule>
    <cfRule type="cellIs" dxfId="10" priority="22" operator="greaterThan">
      <formula>1</formula>
    </cfRule>
  </conditionalFormatting>
  <conditionalFormatting sqref="W46:W63">
    <cfRule type="cellIs" dxfId="9" priority="19" operator="greaterThan">
      <formula>1.05</formula>
    </cfRule>
    <cfRule type="cellIs" dxfId="8" priority="20" operator="greaterThan">
      <formula>1</formula>
    </cfRule>
  </conditionalFormatting>
  <conditionalFormatting sqref="T8:T63">
    <cfRule type="cellIs" dxfId="7" priority="1" operator="greaterThan">
      <formula>1.05</formula>
    </cfRule>
    <cfRule type="cellIs" dxfId="6" priority="4" operator="greaterThan">
      <formula>1.05</formula>
    </cfRule>
    <cfRule type="cellIs" dxfId="5" priority="6" operator="greaterThan">
      <formula>1</formula>
    </cfRule>
  </conditionalFormatting>
  <conditionalFormatting sqref="L8:L63">
    <cfRule type="cellIs" dxfId="4" priority="5" operator="greaterThan">
      <formula>1.05</formula>
    </cfRule>
  </conditionalFormatting>
  <conditionalFormatting sqref="W36:W45">
    <cfRule type="cellIs" dxfId="3" priority="8" operator="greaterThan">
      <formula>1.05</formula>
    </cfRule>
    <cfRule type="cellIs" dxfId="2" priority="9" operator="greaterThan">
      <formula>1</formula>
    </cfRule>
  </conditionalFormatting>
  <conditionalFormatting sqref="V8:V63">
    <cfRule type="cellIs" dxfId="1" priority="2" operator="greaterThan">
      <formula>1.05</formula>
    </cfRule>
    <cfRule type="cellIs" dxfId="0" priority="3" operator="greaterThan">
      <formula>1</formula>
    </cfRule>
  </conditionalFormatting>
  <hyperlinks>
    <hyperlink ref="D4" r:id="rId1" xr:uid="{00000000-0004-0000-0300-000000000000}"/>
    <hyperlink ref="H4" r:id="rId2" xr:uid="{00000000-0004-0000-0300-000001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1 этап проверки ЭфП</vt:lpstr>
      <vt:lpstr>Калькулятор затрат</vt:lpstr>
      <vt:lpstr>Справочник цен</vt:lpstr>
      <vt:lpstr>Завершающий этап проверки ЭфП</vt:lpstr>
      <vt:lpstr>'Справочник цен'!ВидРабот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Артуровна Щербатова</dc:creator>
  <cp:lastModifiedBy>Кирилл Сергеевич Ипполитов</cp:lastModifiedBy>
  <dcterms:created xsi:type="dcterms:W3CDTF">2021-03-15T07:30:00Z</dcterms:created>
  <dcterms:modified xsi:type="dcterms:W3CDTF">2021-08-23T05:59:57Z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1049-11.2.0.10176</vt:lpwstr>
  </property>
</Properties>
</file>