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Ex4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5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6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7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8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9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0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11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12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1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1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1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as\Desktop\Magisterské studium\Diplomová práce\Výsledky excel\"/>
    </mc:Choice>
  </mc:AlternateContent>
  <xr:revisionPtr revIDLastSave="0" documentId="13_ncr:1_{66CED53C-557C-4D32-A089-07D4707C4EAE}" xr6:coauthVersionLast="47" xr6:coauthVersionMax="47" xr10:uidLastSave="{00000000-0000-0000-0000-000000000000}"/>
  <bookViews>
    <workbookView xWindow="-108" yWindow="-108" windowWidth="23256" windowHeight="12456" xr2:uid="{348F51BD-A818-481F-9520-C2764B2B0CDC}"/>
  </bookViews>
  <sheets>
    <sheet name="List1" sheetId="1" r:id="rId1"/>
    <sheet name="List2" sheetId="2" r:id="rId2"/>
    <sheet name="List3" sheetId="3" r:id="rId3"/>
  </sheets>
  <definedNames>
    <definedName name="_xlchart.v1.0" hidden="1">List1!$R$9:$R$24</definedName>
    <definedName name="_xlchart.v1.1" hidden="1">List1!$S$9:$S$24</definedName>
    <definedName name="_xlchart.v1.10" hidden="1">List1!$T$32:$T$41</definedName>
    <definedName name="_xlchart.v1.11" hidden="1">List1!$U$32:$U$41</definedName>
    <definedName name="_xlchart.v1.12" hidden="1">List1!$X$9:$X$19</definedName>
    <definedName name="_xlchart.v1.13" hidden="1">List1!$Y$9:$Y$19</definedName>
    <definedName name="_xlchart.v1.14" hidden="1">List1!$V$9:$V$20</definedName>
    <definedName name="_xlchart.v1.15" hidden="1">List1!$W$9:$W$20</definedName>
    <definedName name="_xlchart.v1.16" hidden="1">List1!$AA$9:$AA$23</definedName>
    <definedName name="_xlchart.v1.17" hidden="1">List1!$Z$9:$Z$23</definedName>
    <definedName name="_xlchart.v1.18" hidden="1">List1!$V$32:$V$36</definedName>
    <definedName name="_xlchart.v1.19" hidden="1">List1!$W$32:$W$36</definedName>
    <definedName name="_xlchart.v1.2" hidden="1">List1!$R$45:$R$70</definedName>
    <definedName name="_xlchart.v1.20" hidden="1">List1!$X$47:$X$61</definedName>
    <definedName name="_xlchart.v1.21" hidden="1">List1!$Y$47:$Y$61</definedName>
    <definedName name="_xlchart.v1.22" hidden="1">List1!$V$47:$V$59</definedName>
    <definedName name="_xlchart.v1.23" hidden="1">List1!$W$47:$W$59</definedName>
    <definedName name="_xlchart.v1.24" hidden="1">List1!$AA$47:$AA$64</definedName>
    <definedName name="_xlchart.v1.25" hidden="1">List1!$Z$47:$Z$64</definedName>
    <definedName name="_xlchart.v1.3" hidden="1">List1!$S$45:$S$70</definedName>
    <definedName name="_xlchart.v1.4" hidden="1">List1!$AA$32:$AA$39</definedName>
    <definedName name="_xlchart.v1.5" hidden="1">List1!$Z$32:$Z$39</definedName>
    <definedName name="_xlchart.v1.6" hidden="1">List1!$X$32:$X$39</definedName>
    <definedName name="_xlchart.v1.7" hidden="1">List1!$Y$32:$Y$39</definedName>
    <definedName name="_xlchart.v1.8" hidden="1">List1!$R$32:$R$41</definedName>
    <definedName name="_xlchart.v1.9" hidden="1">List1!$S$32:$S$41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8" i="1" l="1"/>
  <c r="AA69" i="1"/>
  <c r="AA68" i="1"/>
  <c r="AA67" i="1"/>
  <c r="Y66" i="1"/>
  <c r="Y65" i="1"/>
  <c r="Y64" i="1"/>
  <c r="W66" i="1"/>
  <c r="W65" i="1"/>
  <c r="W64" i="1"/>
  <c r="AA65" i="1"/>
  <c r="AA36" i="1"/>
  <c r="AA35" i="1"/>
  <c r="AA34" i="1"/>
  <c r="AA33" i="1"/>
  <c r="AA32" i="1"/>
  <c r="Y39" i="1"/>
  <c r="Y38" i="1"/>
  <c r="Y37" i="1"/>
  <c r="Y36" i="1"/>
  <c r="Y35" i="1"/>
  <c r="Y34" i="1"/>
  <c r="Y33" i="1"/>
  <c r="Y32" i="1"/>
  <c r="W36" i="1"/>
  <c r="W35" i="1"/>
  <c r="W34" i="1"/>
  <c r="W33" i="1"/>
  <c r="W32" i="1"/>
  <c r="AA5" i="1"/>
  <c r="AA4" i="1"/>
  <c r="AA3" i="1"/>
  <c r="Y5" i="1"/>
  <c r="Y4" i="1"/>
  <c r="Y3" i="1"/>
  <c r="W5" i="1"/>
  <c r="W4" i="1"/>
  <c r="W3" i="1"/>
  <c r="K27" i="1"/>
  <c r="S6" i="1"/>
  <c r="S5" i="1"/>
  <c r="S34" i="1"/>
  <c r="K209" i="1"/>
  <c r="S4" i="1"/>
  <c r="N60" i="1"/>
  <c r="N59" i="1"/>
  <c r="K60" i="1"/>
  <c r="K59" i="1"/>
  <c r="N211" i="1"/>
  <c r="N248" i="1"/>
  <c r="N247" i="1"/>
  <c r="N246" i="1"/>
  <c r="N245" i="1"/>
  <c r="N244" i="1"/>
  <c r="N243" i="1"/>
  <c r="N242" i="1"/>
  <c r="N241" i="1"/>
  <c r="N240" i="1"/>
  <c r="N239" i="1"/>
  <c r="N229" i="1"/>
  <c r="N231" i="1"/>
  <c r="N232" i="1"/>
  <c r="N233" i="1"/>
  <c r="N234" i="1"/>
  <c r="N236" i="1"/>
  <c r="N237" i="1"/>
  <c r="N238" i="1"/>
  <c r="N228" i="1"/>
  <c r="N227" i="1"/>
  <c r="N207" i="1"/>
  <c r="N208" i="1"/>
  <c r="N209" i="1"/>
  <c r="N212" i="1"/>
  <c r="N213" i="1"/>
  <c r="N214" i="1"/>
  <c r="N215" i="1"/>
  <c r="N216" i="1"/>
  <c r="N217" i="1"/>
  <c r="N219" i="1"/>
  <c r="N221" i="1"/>
  <c r="N222" i="1"/>
  <c r="N224" i="1"/>
  <c r="N225" i="1"/>
  <c r="N226" i="1"/>
  <c r="K199" i="1"/>
  <c r="K200" i="1"/>
  <c r="K201" i="1"/>
  <c r="K202" i="1"/>
  <c r="K203" i="1"/>
  <c r="K205" i="1"/>
  <c r="K206" i="1"/>
  <c r="K207" i="1"/>
  <c r="K208" i="1"/>
  <c r="K211" i="1"/>
  <c r="K212" i="1"/>
  <c r="K213" i="1"/>
  <c r="K214" i="1"/>
  <c r="K215" i="1"/>
  <c r="K216" i="1"/>
  <c r="K217" i="1"/>
  <c r="K219" i="1"/>
  <c r="K221" i="1"/>
  <c r="K222" i="1"/>
  <c r="K224" i="1"/>
  <c r="K225" i="1"/>
  <c r="K226" i="1"/>
  <c r="K227" i="1"/>
  <c r="K228" i="1"/>
  <c r="K229" i="1"/>
  <c r="K231" i="1"/>
  <c r="K232" i="1"/>
  <c r="K233" i="1"/>
  <c r="K234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N198" i="1"/>
  <c r="N199" i="1"/>
  <c r="N200" i="1"/>
  <c r="N201" i="1"/>
  <c r="N202" i="1"/>
  <c r="N203" i="1"/>
  <c r="N204" i="1"/>
  <c r="N205" i="1"/>
  <c r="N206" i="1"/>
  <c r="N182" i="1"/>
  <c r="N183" i="1"/>
  <c r="N185" i="1"/>
  <c r="N186" i="1"/>
  <c r="N187" i="1"/>
  <c r="N188" i="1"/>
  <c r="N189" i="1"/>
  <c r="N190" i="1"/>
  <c r="N191" i="1"/>
  <c r="N192" i="1"/>
  <c r="N194" i="1"/>
  <c r="N195" i="1"/>
  <c r="N196" i="1"/>
  <c r="K182" i="1"/>
  <c r="K183" i="1"/>
  <c r="K185" i="1"/>
  <c r="K186" i="1"/>
  <c r="K187" i="1"/>
  <c r="K188" i="1"/>
  <c r="K189" i="1"/>
  <c r="K191" i="1"/>
  <c r="K192" i="1"/>
  <c r="K194" i="1"/>
  <c r="K195" i="1"/>
  <c r="K196" i="1"/>
  <c r="S40" i="1"/>
  <c r="S33" i="1"/>
  <c r="S32" i="1"/>
  <c r="S77" i="1"/>
  <c r="S76" i="1"/>
  <c r="S75" i="1"/>
  <c r="S41" i="1"/>
  <c r="S37" i="1"/>
  <c r="S39" i="1"/>
  <c r="S38" i="1"/>
  <c r="S36" i="1"/>
  <c r="S35" i="1"/>
  <c r="N160" i="1"/>
  <c r="N39" i="1"/>
  <c r="K39" i="1"/>
  <c r="N38" i="1"/>
  <c r="N180" i="1"/>
  <c r="K180" i="1"/>
  <c r="N179" i="1"/>
  <c r="K179" i="1"/>
  <c r="K178" i="1"/>
  <c r="N173" i="1"/>
  <c r="K173" i="1"/>
  <c r="N172" i="1"/>
  <c r="K172" i="1"/>
  <c r="N168" i="1"/>
  <c r="N169" i="1"/>
  <c r="N170" i="1"/>
  <c r="N171" i="1"/>
  <c r="N175" i="1"/>
  <c r="N176" i="1"/>
  <c r="N177" i="1"/>
  <c r="N178" i="1"/>
  <c r="K168" i="1"/>
  <c r="K169" i="1"/>
  <c r="K170" i="1"/>
  <c r="K171" i="1"/>
  <c r="K175" i="1"/>
  <c r="K176" i="1"/>
  <c r="K177" i="1"/>
  <c r="N166" i="1"/>
  <c r="K166" i="1"/>
  <c r="N152" i="1"/>
  <c r="N153" i="1"/>
  <c r="N154" i="1"/>
  <c r="N155" i="1"/>
  <c r="N156" i="1"/>
  <c r="N157" i="1"/>
  <c r="N158" i="1"/>
  <c r="N161" i="1"/>
  <c r="N162" i="1"/>
  <c r="N163" i="1"/>
  <c r="N164" i="1"/>
  <c r="N165" i="1"/>
  <c r="K152" i="1"/>
  <c r="K153" i="1"/>
  <c r="K154" i="1"/>
  <c r="K155" i="1"/>
  <c r="K156" i="1"/>
  <c r="K157" i="1"/>
  <c r="K158" i="1"/>
  <c r="K160" i="1"/>
  <c r="K161" i="1"/>
  <c r="K162" i="1"/>
  <c r="K163" i="1"/>
  <c r="K164" i="1"/>
  <c r="K165" i="1"/>
  <c r="N150" i="1"/>
  <c r="N149" i="1"/>
  <c r="N148" i="1"/>
  <c r="N137" i="1"/>
  <c r="N138" i="1"/>
  <c r="N139" i="1"/>
  <c r="N140" i="1"/>
  <c r="N142" i="1"/>
  <c r="N143" i="1"/>
  <c r="N144" i="1"/>
  <c r="N145" i="1"/>
  <c r="N146" i="1"/>
  <c r="N147" i="1"/>
  <c r="K137" i="1"/>
  <c r="K138" i="1"/>
  <c r="K139" i="1"/>
  <c r="K140" i="1"/>
  <c r="K142" i="1"/>
  <c r="K143" i="1"/>
  <c r="K144" i="1"/>
  <c r="K145" i="1"/>
  <c r="K146" i="1"/>
  <c r="K147" i="1"/>
  <c r="K148" i="1"/>
  <c r="K149" i="1"/>
  <c r="K150" i="1"/>
  <c r="N134" i="1"/>
  <c r="K134" i="1"/>
  <c r="N133" i="1"/>
  <c r="K133" i="1"/>
  <c r="N132" i="1"/>
  <c r="K132" i="1"/>
  <c r="N131" i="1"/>
  <c r="K131" i="1"/>
  <c r="N130" i="1"/>
  <c r="K130" i="1"/>
  <c r="N129" i="1"/>
  <c r="K129" i="1"/>
  <c r="N128" i="1"/>
  <c r="K128" i="1"/>
  <c r="N127" i="1"/>
  <c r="K127" i="1"/>
  <c r="N112" i="1"/>
  <c r="K112" i="1"/>
  <c r="N111" i="1"/>
  <c r="K111" i="1"/>
  <c r="N110" i="1"/>
  <c r="K110" i="1"/>
  <c r="N109" i="1"/>
  <c r="N114" i="1"/>
  <c r="N115" i="1"/>
  <c r="N116" i="1"/>
  <c r="N117" i="1"/>
  <c r="N119" i="1"/>
  <c r="N120" i="1"/>
  <c r="N121" i="1"/>
  <c r="N122" i="1"/>
  <c r="N123" i="1"/>
  <c r="N124" i="1"/>
  <c r="N125" i="1"/>
  <c r="N126" i="1"/>
  <c r="N135" i="1"/>
  <c r="K109" i="1"/>
  <c r="K114" i="1"/>
  <c r="K115" i="1"/>
  <c r="K116" i="1"/>
  <c r="K117" i="1"/>
  <c r="K119" i="1"/>
  <c r="K120" i="1"/>
  <c r="K121" i="1"/>
  <c r="K122" i="1"/>
  <c r="K123" i="1"/>
  <c r="K124" i="1"/>
  <c r="K125" i="1"/>
  <c r="K126" i="1"/>
  <c r="K135" i="1"/>
  <c r="K89" i="1"/>
  <c r="N89" i="1"/>
  <c r="K97" i="1"/>
  <c r="N97" i="1"/>
  <c r="N90" i="1"/>
  <c r="N91" i="1"/>
  <c r="N92" i="1"/>
  <c r="N93" i="1"/>
  <c r="N94" i="1"/>
  <c r="N95" i="1"/>
  <c r="N96" i="1"/>
  <c r="N98" i="1"/>
  <c r="N100" i="1"/>
  <c r="N101" i="1"/>
  <c r="N102" i="1"/>
  <c r="N103" i="1"/>
  <c r="N104" i="1"/>
  <c r="N105" i="1"/>
  <c r="N107" i="1"/>
  <c r="N108" i="1"/>
  <c r="K88" i="1"/>
  <c r="K90" i="1"/>
  <c r="K91" i="1"/>
  <c r="K92" i="1"/>
  <c r="K93" i="1"/>
  <c r="K94" i="1"/>
  <c r="K95" i="1"/>
  <c r="K96" i="1"/>
  <c r="K98" i="1"/>
  <c r="K100" i="1"/>
  <c r="K101" i="1"/>
  <c r="K102" i="1"/>
  <c r="K103" i="1"/>
  <c r="K104" i="1"/>
  <c r="K105" i="1"/>
  <c r="K107" i="1"/>
  <c r="K108" i="1"/>
  <c r="N84" i="1"/>
  <c r="N86" i="1"/>
  <c r="N87" i="1"/>
  <c r="N88" i="1"/>
  <c r="K84" i="1"/>
  <c r="K86" i="1"/>
  <c r="K87" i="1"/>
  <c r="N77" i="1"/>
  <c r="N78" i="1"/>
  <c r="N80" i="1"/>
  <c r="N81" i="1"/>
  <c r="N82" i="1"/>
  <c r="K77" i="1"/>
  <c r="K78" i="1"/>
  <c r="K80" i="1"/>
  <c r="K81" i="1"/>
  <c r="K82" i="1"/>
  <c r="N70" i="1"/>
  <c r="N71" i="1"/>
  <c r="N72" i="1"/>
  <c r="N73" i="1"/>
  <c r="N74" i="1"/>
  <c r="N75" i="1"/>
  <c r="N76" i="1"/>
  <c r="K70" i="1"/>
  <c r="K71" i="1"/>
  <c r="K72" i="1"/>
  <c r="K73" i="1"/>
  <c r="K74" i="1"/>
  <c r="K75" i="1"/>
  <c r="K76" i="1"/>
  <c r="N67" i="1"/>
  <c r="N68" i="1"/>
  <c r="K67" i="1"/>
  <c r="K68" i="1"/>
  <c r="N62" i="1"/>
  <c r="N63" i="1"/>
  <c r="N64" i="1"/>
  <c r="N65" i="1"/>
  <c r="N58" i="1"/>
  <c r="N57" i="1"/>
  <c r="K55" i="1"/>
  <c r="K56" i="1"/>
  <c r="K57" i="1"/>
  <c r="K58" i="1"/>
  <c r="K62" i="1"/>
  <c r="K63" i="1"/>
  <c r="K64" i="1"/>
  <c r="K65" i="1"/>
  <c r="N51" i="1"/>
  <c r="N52" i="1"/>
  <c r="N53" i="1"/>
  <c r="N55" i="1"/>
  <c r="N56" i="1"/>
  <c r="K51" i="1"/>
  <c r="K52" i="1"/>
  <c r="K53" i="1"/>
  <c r="N12" i="1"/>
  <c r="K40" i="1"/>
  <c r="K41" i="1"/>
  <c r="K42" i="1"/>
  <c r="K43" i="1"/>
  <c r="K44" i="1"/>
  <c r="K45" i="1"/>
  <c r="K46" i="1"/>
  <c r="K47" i="1"/>
  <c r="K48" i="1"/>
  <c r="K49" i="1"/>
  <c r="N40" i="1"/>
  <c r="N41" i="1"/>
  <c r="N42" i="1"/>
  <c r="N43" i="1"/>
  <c r="N44" i="1"/>
  <c r="N45" i="1"/>
  <c r="N46" i="1"/>
  <c r="N47" i="1"/>
  <c r="N48" i="1"/>
  <c r="N49" i="1"/>
  <c r="K38" i="1"/>
  <c r="N29" i="1"/>
  <c r="N30" i="1"/>
  <c r="N31" i="1"/>
  <c r="N32" i="1"/>
  <c r="N33" i="1"/>
  <c r="N34" i="1"/>
  <c r="N35" i="1"/>
  <c r="N36" i="1"/>
  <c r="K36" i="1"/>
  <c r="K35" i="1"/>
  <c r="K34" i="1"/>
  <c r="K33" i="1"/>
  <c r="K32" i="1"/>
  <c r="K31" i="1"/>
  <c r="N27" i="1"/>
  <c r="N28" i="1"/>
  <c r="K28" i="1"/>
  <c r="K29" i="1"/>
  <c r="K30" i="1"/>
  <c r="H2" i="3"/>
  <c r="N25" i="1"/>
  <c r="N24" i="1"/>
  <c r="N23" i="1"/>
  <c r="N22" i="1"/>
  <c r="N21" i="1"/>
  <c r="N20" i="1"/>
  <c r="N19" i="1"/>
  <c r="K25" i="1"/>
  <c r="K24" i="1"/>
  <c r="K23" i="1"/>
  <c r="K22" i="1"/>
  <c r="K21" i="1"/>
  <c r="K20" i="1"/>
  <c r="K19" i="1"/>
  <c r="N14" i="1"/>
  <c r="N15" i="1"/>
  <c r="N16" i="1"/>
  <c r="N17" i="1"/>
  <c r="N18" i="1"/>
  <c r="K14" i="1"/>
  <c r="K15" i="1"/>
  <c r="K16" i="1"/>
  <c r="K17" i="1"/>
  <c r="K18" i="1"/>
  <c r="N4" i="1"/>
  <c r="N5" i="1"/>
  <c r="N6" i="1"/>
  <c r="N7" i="1"/>
  <c r="N8" i="1"/>
  <c r="N9" i="1"/>
  <c r="N10" i="1"/>
  <c r="N11" i="1"/>
  <c r="N3" i="1"/>
  <c r="K4" i="1"/>
  <c r="K5" i="1"/>
  <c r="K6" i="1"/>
  <c r="K7" i="1"/>
  <c r="K8" i="1"/>
  <c r="K9" i="1"/>
  <c r="K10" i="1"/>
  <c r="K11" i="1"/>
  <c r="K12" i="1"/>
  <c r="K3" i="1"/>
  <c r="W58" i="1" l="1"/>
  <c r="W17" i="1"/>
  <c r="AA22" i="1"/>
  <c r="W10" i="1"/>
  <c r="W14" i="1"/>
  <c r="W18" i="1"/>
  <c r="Y10" i="1"/>
  <c r="Y14" i="1"/>
  <c r="Y19" i="1"/>
  <c r="AA11" i="1"/>
  <c r="AA15" i="1"/>
  <c r="AA23" i="1"/>
  <c r="W52" i="1"/>
  <c r="W55" i="1"/>
  <c r="W57" i="1"/>
  <c r="W59" i="1"/>
  <c r="Y51" i="1"/>
  <c r="Y54" i="1"/>
  <c r="Y61" i="1"/>
  <c r="Y48" i="1"/>
  <c r="W11" i="1"/>
  <c r="W15" i="1"/>
  <c r="W19" i="1"/>
  <c r="Y11" i="1"/>
  <c r="Y15" i="1"/>
  <c r="Y16" i="1"/>
  <c r="AA12" i="1"/>
  <c r="AA16" i="1"/>
  <c r="AA20" i="1"/>
  <c r="W48" i="1"/>
  <c r="W50" i="1"/>
  <c r="Y47" i="1"/>
  <c r="Y55" i="1"/>
  <c r="Y58" i="1"/>
  <c r="W12" i="1"/>
  <c r="W16" i="1"/>
  <c r="W20" i="1"/>
  <c r="Y12" i="1"/>
  <c r="Y17" i="1"/>
  <c r="AA9" i="1"/>
  <c r="AA13" i="1"/>
  <c r="AA17" i="1"/>
  <c r="AA21" i="1"/>
  <c r="W51" i="1"/>
  <c r="W53" i="1"/>
  <c r="Y49" i="1"/>
  <c r="Y52" i="1"/>
  <c r="Y56" i="1"/>
  <c r="Y59" i="1"/>
  <c r="W9" i="1"/>
  <c r="W13" i="1"/>
  <c r="Y9" i="1"/>
  <c r="Y13" i="1"/>
  <c r="Y18" i="1"/>
  <c r="AA10" i="1"/>
  <c r="AA14" i="1"/>
  <c r="AA18" i="1"/>
  <c r="W47" i="1"/>
  <c r="W49" i="1"/>
  <c r="W54" i="1"/>
  <c r="W56" i="1"/>
  <c r="Y50" i="1"/>
  <c r="Y53" i="1"/>
  <c r="Y57" i="1"/>
  <c r="Y60" i="1"/>
  <c r="S68" i="1"/>
  <c r="S63" i="1"/>
  <c r="S67" i="1"/>
  <c r="S42" i="1"/>
  <c r="S24" i="1"/>
  <c r="S7" i="1"/>
  <c r="T7" i="1" s="1"/>
  <c r="S12" i="1"/>
  <c r="S61" i="1"/>
  <c r="S13" i="1"/>
  <c r="S64" i="1"/>
  <c r="S70" i="1"/>
  <c r="S15" i="1"/>
  <c r="S14" i="1"/>
  <c r="S19" i="1"/>
  <c r="S59" i="1"/>
  <c r="S10" i="1"/>
  <c r="S60" i="1"/>
  <c r="S11" i="1"/>
  <c r="S18" i="1"/>
  <c r="S20" i="1"/>
  <c r="S21" i="1"/>
  <c r="S22" i="1"/>
  <c r="S23" i="1"/>
  <c r="S16" i="1"/>
  <c r="S17" i="1"/>
  <c r="S78" i="1"/>
  <c r="S47" i="1"/>
  <c r="S46" i="1"/>
  <c r="S53" i="1"/>
  <c r="S51" i="1"/>
  <c r="S55" i="1"/>
  <c r="S56" i="1"/>
  <c r="S48" i="1"/>
  <c r="S57" i="1"/>
  <c r="S62" i="1"/>
  <c r="S54" i="1"/>
  <c r="S45" i="1"/>
  <c r="S50" i="1"/>
  <c r="S52" i="1"/>
  <c r="S49" i="1"/>
  <c r="S58" i="1"/>
  <c r="Y24" i="1" l="1"/>
  <c r="Y62" i="1"/>
  <c r="S71" i="1"/>
</calcChain>
</file>

<file path=xl/sharedStrings.xml><?xml version="1.0" encoding="utf-8"?>
<sst xmlns="http://schemas.openxmlformats.org/spreadsheetml/2006/main" count="1460" uniqueCount="521">
  <si>
    <t>NEBOJ</t>
  </si>
  <si>
    <t>Píseň</t>
  </si>
  <si>
    <t>RS 1</t>
  </si>
  <si>
    <t>RS 2</t>
  </si>
  <si>
    <t>reduplikant</t>
  </si>
  <si>
    <t>slabičnost</t>
  </si>
  <si>
    <t>RS RS1</t>
  </si>
  <si>
    <t>RS RS2</t>
  </si>
  <si>
    <t>RS rýmu</t>
  </si>
  <si>
    <t>POS 1</t>
  </si>
  <si>
    <t>POS 2</t>
  </si>
  <si>
    <t>POS rýmu</t>
  </si>
  <si>
    <t>Stupeň gramatického kontrastu</t>
  </si>
  <si>
    <t>GLOBÁLNÍ VÝSLEDKY</t>
  </si>
  <si>
    <t>DÝCHEJ</t>
  </si>
  <si>
    <t>Dobré ráno</t>
  </si>
  <si>
    <t>nezaberu</t>
  </si>
  <si>
    <t>neproberu</t>
  </si>
  <si>
    <t>bErU</t>
  </si>
  <si>
    <t>V</t>
  </si>
  <si>
    <t>Slabičnost</t>
  </si>
  <si>
    <t>ČARUJ</t>
  </si>
  <si>
    <t>beru</t>
  </si>
  <si>
    <t>důvěru</t>
  </si>
  <si>
    <t>ErU</t>
  </si>
  <si>
    <t>N</t>
  </si>
  <si>
    <t>byla</t>
  </si>
  <si>
    <t>IlA</t>
  </si>
  <si>
    <t>3</t>
  </si>
  <si>
    <t>VERSU-CELKEM</t>
  </si>
  <si>
    <t>opustila</t>
  </si>
  <si>
    <t>celkem</t>
  </si>
  <si>
    <t>byli</t>
  </si>
  <si>
    <t>přinutili</t>
  </si>
  <si>
    <t>IlI</t>
  </si>
  <si>
    <t>Rytmické celky</t>
  </si>
  <si>
    <t>směrů</t>
  </si>
  <si>
    <t>nevyberu</t>
  </si>
  <si>
    <t>2+1/3</t>
  </si>
  <si>
    <t>1/1</t>
  </si>
  <si>
    <t xml:space="preserve">byla </t>
  </si>
  <si>
    <t>1/3</t>
  </si>
  <si>
    <t xml:space="preserve">chvíli </t>
  </si>
  <si>
    <t>neztratili</t>
  </si>
  <si>
    <t>3/1</t>
  </si>
  <si>
    <t>3/3</t>
  </si>
  <si>
    <t>Vrány taky</t>
  </si>
  <si>
    <t>vran</t>
  </si>
  <si>
    <t>domobran</t>
  </si>
  <si>
    <t>rAn</t>
  </si>
  <si>
    <t>2/2</t>
  </si>
  <si>
    <t>cíli</t>
  </si>
  <si>
    <t>střílí</t>
  </si>
  <si>
    <t>2/4</t>
  </si>
  <si>
    <t>chvíli</t>
  </si>
  <si>
    <t>4/2</t>
  </si>
  <si>
    <t>mám</t>
  </si>
  <si>
    <t>kam</t>
  </si>
  <si>
    <t>Am</t>
  </si>
  <si>
    <t>Adv</t>
  </si>
  <si>
    <t>4/4</t>
  </si>
  <si>
    <t>znám</t>
  </si>
  <si>
    <t>2/3</t>
  </si>
  <si>
    <t>ran</t>
  </si>
  <si>
    <t>3/2</t>
  </si>
  <si>
    <t>stran</t>
  </si>
  <si>
    <t>1/4</t>
  </si>
  <si>
    <t>hnán</t>
  </si>
  <si>
    <t>An</t>
  </si>
  <si>
    <t>4/3</t>
  </si>
  <si>
    <t>mraky</t>
  </si>
  <si>
    <t>vojáky</t>
  </si>
  <si>
    <t>AkI</t>
  </si>
  <si>
    <t>1/2</t>
  </si>
  <si>
    <t>praky</t>
  </si>
  <si>
    <t>2/1</t>
  </si>
  <si>
    <t>taky</t>
  </si>
  <si>
    <t>4/1</t>
  </si>
  <si>
    <t xml:space="preserve">taky </t>
  </si>
  <si>
    <t>gumáky</t>
  </si>
  <si>
    <t>Rytmické celky 2</t>
  </si>
  <si>
    <t>Neboj</t>
  </si>
  <si>
    <t>spát</t>
  </si>
  <si>
    <t>hlad</t>
  </si>
  <si>
    <t>At</t>
  </si>
  <si>
    <t xml:space="preserve">izometrické </t>
  </si>
  <si>
    <t>tu</t>
  </si>
  <si>
    <t>světu</t>
  </si>
  <si>
    <t>tU</t>
  </si>
  <si>
    <t xml:space="preserve">stoupavé </t>
  </si>
  <si>
    <t>dostala</t>
  </si>
  <si>
    <t>brouzdala</t>
  </si>
  <si>
    <t>AlA</t>
  </si>
  <si>
    <t>klesavé</t>
  </si>
  <si>
    <t>mala</t>
  </si>
  <si>
    <t>znáš</t>
  </si>
  <si>
    <t>vzpomínáš</t>
  </si>
  <si>
    <t>Aš</t>
  </si>
  <si>
    <t>POS</t>
  </si>
  <si>
    <t xml:space="preserve">vzpomínáš </t>
  </si>
  <si>
    <t>až</t>
  </si>
  <si>
    <t>Adj</t>
  </si>
  <si>
    <t>odmala</t>
  </si>
  <si>
    <t>Pron</t>
  </si>
  <si>
    <t>Num</t>
  </si>
  <si>
    <t>Kříž</t>
  </si>
  <si>
    <t>víš</t>
  </si>
  <si>
    <t>blíž</t>
  </si>
  <si>
    <t>Iš</t>
  </si>
  <si>
    <t>Prep</t>
  </si>
  <si>
    <t>skrýš</t>
  </si>
  <si>
    <t>Conj</t>
  </si>
  <si>
    <t>dálky</t>
  </si>
  <si>
    <t>zpátky</t>
  </si>
  <si>
    <t>kI</t>
  </si>
  <si>
    <t>Part</t>
  </si>
  <si>
    <t>nezastavíš</t>
  </si>
  <si>
    <t>nezbavíš</t>
  </si>
  <si>
    <t>AvIš</t>
  </si>
  <si>
    <t>Interj</t>
  </si>
  <si>
    <t>vymyslíš</t>
  </si>
  <si>
    <t>tušíš</t>
  </si>
  <si>
    <t>Slovnědruhová struktura</t>
  </si>
  <si>
    <t>Adj+N</t>
  </si>
  <si>
    <t>Adj+V</t>
  </si>
  <si>
    <t>Adv+N</t>
  </si>
  <si>
    <t>Adv+Pron</t>
  </si>
  <si>
    <t>Adv+V</t>
  </si>
  <si>
    <t>Conj+V</t>
  </si>
  <si>
    <t>Nebolelo</t>
  </si>
  <si>
    <t>nemiluju</t>
  </si>
  <si>
    <t>nevyzuju</t>
  </si>
  <si>
    <t>UjU</t>
  </si>
  <si>
    <t>N+Adv</t>
  </si>
  <si>
    <t>roztahuju</t>
  </si>
  <si>
    <t>N+N</t>
  </si>
  <si>
    <t>devastuju</t>
  </si>
  <si>
    <t>N+Pron</t>
  </si>
  <si>
    <t>N+V</t>
  </si>
  <si>
    <t>Láska není</t>
  </si>
  <si>
    <t>koho</t>
  </si>
  <si>
    <t>nikoho</t>
  </si>
  <si>
    <t>kOhO</t>
  </si>
  <si>
    <t>Num+V</t>
  </si>
  <si>
    <t>problémy</t>
  </si>
  <si>
    <t>zemi</t>
  </si>
  <si>
    <t>EmI</t>
  </si>
  <si>
    <t>Pron+N</t>
  </si>
  <si>
    <t>živá</t>
  </si>
  <si>
    <t>skrývá</t>
  </si>
  <si>
    <t>IvA</t>
  </si>
  <si>
    <t>Pron+V</t>
  </si>
  <si>
    <t>trásněmi</t>
  </si>
  <si>
    <t>básněmi</t>
  </si>
  <si>
    <t>AsnEmI</t>
  </si>
  <si>
    <t>V+Adv</t>
  </si>
  <si>
    <t>V+Adj</t>
  </si>
  <si>
    <t>V+Conj+Adj</t>
  </si>
  <si>
    <t>Pron+Pron+N</t>
  </si>
  <si>
    <t>Loučit</t>
  </si>
  <si>
    <t>nic</t>
  </si>
  <si>
    <t>plic</t>
  </si>
  <si>
    <t>Ic</t>
  </si>
  <si>
    <t>V+Interj</t>
  </si>
  <si>
    <t>si</t>
  </si>
  <si>
    <t>rdousí</t>
  </si>
  <si>
    <t>sI</t>
  </si>
  <si>
    <t>V+V</t>
  </si>
  <si>
    <t>zem</t>
  </si>
  <si>
    <t>županem</t>
  </si>
  <si>
    <t>Em</t>
  </si>
  <si>
    <t>V+N</t>
  </si>
  <si>
    <t>svět</t>
  </si>
  <si>
    <t>nevidět</t>
  </si>
  <si>
    <t>Et</t>
  </si>
  <si>
    <t>V+Conj</t>
  </si>
  <si>
    <t>Pron+Pron</t>
  </si>
  <si>
    <t>Můj kůň</t>
  </si>
  <si>
    <t>chrám</t>
  </si>
  <si>
    <t>Adj+Adj</t>
  </si>
  <si>
    <t>dam</t>
  </si>
  <si>
    <t>Adv+Adv</t>
  </si>
  <si>
    <t xml:space="preserve">Pron+Part </t>
  </si>
  <si>
    <t>Lodivod</t>
  </si>
  <si>
    <t>zdálo</t>
  </si>
  <si>
    <t>spalo</t>
  </si>
  <si>
    <t>AlO</t>
  </si>
  <si>
    <t>Pron+Pron+Adj</t>
  </si>
  <si>
    <t>břehům</t>
  </si>
  <si>
    <t>zvědům</t>
  </si>
  <si>
    <t>Um</t>
  </si>
  <si>
    <t>slibuje</t>
  </si>
  <si>
    <t>putuje</t>
  </si>
  <si>
    <t>UjE</t>
  </si>
  <si>
    <t>lodě</t>
  </si>
  <si>
    <t>vodě</t>
  </si>
  <si>
    <t>OďE</t>
  </si>
  <si>
    <t>stát</t>
  </si>
  <si>
    <t>vzdorovat</t>
  </si>
  <si>
    <t>zralo</t>
  </si>
  <si>
    <t>0</t>
  </si>
  <si>
    <t>strom</t>
  </si>
  <si>
    <t>lom</t>
  </si>
  <si>
    <t>Om</t>
  </si>
  <si>
    <t>1</t>
  </si>
  <si>
    <t>2</t>
  </si>
  <si>
    <t>lakuje</t>
  </si>
  <si>
    <t xml:space="preserve">celkem </t>
  </si>
  <si>
    <t>Jericho</t>
  </si>
  <si>
    <t>zdá</t>
  </si>
  <si>
    <t>dá</t>
  </si>
  <si>
    <t>dA</t>
  </si>
  <si>
    <t>brána</t>
  </si>
  <si>
    <t>gilotina</t>
  </si>
  <si>
    <t>nA</t>
  </si>
  <si>
    <t>uchráněná</t>
  </si>
  <si>
    <t>rána</t>
  </si>
  <si>
    <t>Lovec</t>
  </si>
  <si>
    <t>stál</t>
  </si>
  <si>
    <t>ptal</t>
  </si>
  <si>
    <t>tAl</t>
  </si>
  <si>
    <t>Dýchej</t>
  </si>
  <si>
    <t>ti</t>
  </si>
  <si>
    <t>století</t>
  </si>
  <si>
    <t>ťI</t>
  </si>
  <si>
    <t>fantazie</t>
  </si>
  <si>
    <t>nezabije</t>
  </si>
  <si>
    <t>IjE</t>
  </si>
  <si>
    <t>neklidné</t>
  </si>
  <si>
    <t>ustane</t>
  </si>
  <si>
    <t>nE</t>
  </si>
  <si>
    <t>vzpíná</t>
  </si>
  <si>
    <t>vína</t>
  </si>
  <si>
    <t>InA</t>
  </si>
  <si>
    <t>dojetí</t>
  </si>
  <si>
    <t>oběti</t>
  </si>
  <si>
    <t>jEtI</t>
  </si>
  <si>
    <t>paměti</t>
  </si>
  <si>
    <t>Šňůrám</t>
  </si>
  <si>
    <t>múzám</t>
  </si>
  <si>
    <t>Farmářům</t>
  </si>
  <si>
    <t>andělé</t>
  </si>
  <si>
    <t>čele</t>
  </si>
  <si>
    <t>ElE</t>
  </si>
  <si>
    <t>dolů</t>
  </si>
  <si>
    <t>stvolů</t>
  </si>
  <si>
    <t>OlU</t>
  </si>
  <si>
    <t>farmářům</t>
  </si>
  <si>
    <t>hvězdářům</t>
  </si>
  <si>
    <t>AřUm</t>
  </si>
  <si>
    <t>O lítání</t>
  </si>
  <si>
    <t>davy</t>
  </si>
  <si>
    <t>zdraví</t>
  </si>
  <si>
    <t>AvI</t>
  </si>
  <si>
    <t>stmívá</t>
  </si>
  <si>
    <t>nechtěla</t>
  </si>
  <si>
    <t>letěla</t>
  </si>
  <si>
    <t>ťElA</t>
  </si>
  <si>
    <t>Tvoje oči</t>
  </si>
  <si>
    <t>kým</t>
  </si>
  <si>
    <t>pootočím</t>
  </si>
  <si>
    <t>Im</t>
  </si>
  <si>
    <t>zvedá</t>
  </si>
  <si>
    <t>nedá</t>
  </si>
  <si>
    <t>EdA</t>
  </si>
  <si>
    <t>plán</t>
  </si>
  <si>
    <t>uragán</t>
  </si>
  <si>
    <t>klád</t>
  </si>
  <si>
    <t>Růže</t>
  </si>
  <si>
    <t>snést</t>
  </si>
  <si>
    <t>cest</t>
  </si>
  <si>
    <t>Est</t>
  </si>
  <si>
    <t>kvést</t>
  </si>
  <si>
    <t>lest</t>
  </si>
  <si>
    <t>pomůže</t>
  </si>
  <si>
    <t>růže</t>
  </si>
  <si>
    <t>UžE</t>
  </si>
  <si>
    <t>zahradu</t>
  </si>
  <si>
    <t>vykradu</t>
  </si>
  <si>
    <t>rAdU</t>
  </si>
  <si>
    <t>slézt</t>
  </si>
  <si>
    <t>čest</t>
  </si>
  <si>
    <t>gest</t>
  </si>
  <si>
    <t>svést</t>
  </si>
  <si>
    <t>že</t>
  </si>
  <si>
    <t>nemůže</t>
  </si>
  <si>
    <t>žE</t>
  </si>
  <si>
    <t>Marie</t>
  </si>
  <si>
    <t>přikryje</t>
  </si>
  <si>
    <t>dál</t>
  </si>
  <si>
    <t>přivázal</t>
  </si>
  <si>
    <t>ali</t>
  </si>
  <si>
    <t>nití</t>
  </si>
  <si>
    <t>svítí</t>
  </si>
  <si>
    <t>ItI</t>
  </si>
  <si>
    <t>Ještě se mi zdají sny</t>
  </si>
  <si>
    <t>popereme</t>
  </si>
  <si>
    <t>zvládneme</t>
  </si>
  <si>
    <t>EmE</t>
  </si>
  <si>
    <t>chráníme</t>
  </si>
  <si>
    <t>ramen</t>
  </si>
  <si>
    <t>kámen</t>
  </si>
  <si>
    <t>mEn</t>
  </si>
  <si>
    <t>málem</t>
  </si>
  <si>
    <t>zvládnem</t>
  </si>
  <si>
    <t>Me</t>
  </si>
  <si>
    <t>mE</t>
  </si>
  <si>
    <t>Do čehos tu duši dal</t>
  </si>
  <si>
    <t>dal</t>
  </si>
  <si>
    <t>dAl</t>
  </si>
  <si>
    <t>uklidnili</t>
  </si>
  <si>
    <t>nasadili</t>
  </si>
  <si>
    <t>krabic</t>
  </si>
  <si>
    <t>flambovali</t>
  </si>
  <si>
    <t>stáli</t>
  </si>
  <si>
    <t>AlI</t>
  </si>
  <si>
    <t>jíst</t>
  </si>
  <si>
    <t>list</t>
  </si>
  <si>
    <t>Ist</t>
  </si>
  <si>
    <t>Pištora</t>
  </si>
  <si>
    <t>třetí</t>
  </si>
  <si>
    <t>letí</t>
  </si>
  <si>
    <t>EťI</t>
  </si>
  <si>
    <t>mlátí</t>
  </si>
  <si>
    <t>klid</t>
  </si>
  <si>
    <t>jít</t>
  </si>
  <si>
    <t>It</t>
  </si>
  <si>
    <t>krásy</t>
  </si>
  <si>
    <t>vlasy</t>
  </si>
  <si>
    <t>AsI</t>
  </si>
  <si>
    <t>nedělá</t>
  </si>
  <si>
    <t>slyšela</t>
  </si>
  <si>
    <t>ElA</t>
  </si>
  <si>
    <t>voní</t>
  </si>
  <si>
    <t>zvoní</t>
  </si>
  <si>
    <t>OňI</t>
  </si>
  <si>
    <t>Domů</t>
  </si>
  <si>
    <t>dům</t>
  </si>
  <si>
    <t>sousedům</t>
  </si>
  <si>
    <t>sloupům</t>
  </si>
  <si>
    <t>roznesou</t>
  </si>
  <si>
    <t>jsou</t>
  </si>
  <si>
    <t>sou</t>
  </si>
  <si>
    <t>ploty</t>
  </si>
  <si>
    <t>ty</t>
  </si>
  <si>
    <t>tI</t>
  </si>
  <si>
    <t>Mňam</t>
  </si>
  <si>
    <t>tam</t>
  </si>
  <si>
    <t>sám</t>
  </si>
  <si>
    <t>nepoznávám</t>
  </si>
  <si>
    <t>povídám</t>
  </si>
  <si>
    <t>mňam</t>
  </si>
  <si>
    <t>Čaruj</t>
  </si>
  <si>
    <t>slétnou</t>
  </si>
  <si>
    <t>jednou</t>
  </si>
  <si>
    <t>nou</t>
  </si>
  <si>
    <t>vět</t>
  </si>
  <si>
    <t>vjEt</t>
  </si>
  <si>
    <t>Dělám</t>
  </si>
  <si>
    <t>nezaplatím</t>
  </si>
  <si>
    <t>s tím</t>
  </si>
  <si>
    <t>ťIm</t>
  </si>
  <si>
    <t>víno</t>
  </si>
  <si>
    <t>všechno</t>
  </si>
  <si>
    <t>nO</t>
  </si>
  <si>
    <t>vím</t>
  </si>
  <si>
    <t>tím</t>
  </si>
  <si>
    <t>mnou</t>
  </si>
  <si>
    <t>lucernou</t>
  </si>
  <si>
    <t>píše</t>
  </si>
  <si>
    <t>říše</t>
  </si>
  <si>
    <t>IšE</t>
  </si>
  <si>
    <t>Najzar</t>
  </si>
  <si>
    <t>Filomena</t>
  </si>
  <si>
    <t>radí se</t>
  </si>
  <si>
    <t>na římse</t>
  </si>
  <si>
    <t>sE</t>
  </si>
  <si>
    <t>vstávej</t>
  </si>
  <si>
    <t>mladej</t>
  </si>
  <si>
    <t>Ej</t>
  </si>
  <si>
    <t>Osudová</t>
  </si>
  <si>
    <t>nenajdu-li</t>
  </si>
  <si>
    <t>půli</t>
  </si>
  <si>
    <t>UlI</t>
  </si>
  <si>
    <t>duli</t>
  </si>
  <si>
    <t>neminuli</t>
  </si>
  <si>
    <t>žil</t>
  </si>
  <si>
    <t>sil</t>
  </si>
  <si>
    <t>Il</t>
  </si>
  <si>
    <t>zbyl</t>
  </si>
  <si>
    <t>Pohádka</t>
  </si>
  <si>
    <t>destinací</t>
  </si>
  <si>
    <t>práci</t>
  </si>
  <si>
    <t>AcI</t>
  </si>
  <si>
    <t>drak</t>
  </si>
  <si>
    <t>tak</t>
  </si>
  <si>
    <t>Ak</t>
  </si>
  <si>
    <t>situaci</t>
  </si>
  <si>
    <t>rádci</t>
  </si>
  <si>
    <t>cI</t>
  </si>
  <si>
    <t>prohlášení</t>
  </si>
  <si>
    <t>vytroubení</t>
  </si>
  <si>
    <t>EňI</t>
  </si>
  <si>
    <t>meditaci</t>
  </si>
  <si>
    <t>o frustraci</t>
  </si>
  <si>
    <t>Černobílá</t>
  </si>
  <si>
    <t>zdá se mi</t>
  </si>
  <si>
    <t>na zemi</t>
  </si>
  <si>
    <t>děláme</t>
  </si>
  <si>
    <t>zdrháme</t>
  </si>
  <si>
    <t>AmE</t>
  </si>
  <si>
    <t>vstát</t>
  </si>
  <si>
    <t>utíkat</t>
  </si>
  <si>
    <t>ztracený</t>
  </si>
  <si>
    <t>jiný</t>
  </si>
  <si>
    <t>nI</t>
  </si>
  <si>
    <t>žijem</t>
  </si>
  <si>
    <t>neopijem</t>
  </si>
  <si>
    <t>IjEm</t>
  </si>
  <si>
    <t>jen mi ne</t>
  </si>
  <si>
    <t>pomine</t>
  </si>
  <si>
    <t>mInE</t>
  </si>
  <si>
    <t>2+1</t>
  </si>
  <si>
    <t>Pron+Part</t>
  </si>
  <si>
    <t>rozhýbat</t>
  </si>
  <si>
    <t>Helium</t>
  </si>
  <si>
    <t>hulením</t>
  </si>
  <si>
    <t>rozumím</t>
  </si>
  <si>
    <t>Slepice</t>
  </si>
  <si>
    <t>výlet</t>
  </si>
  <si>
    <t>sdílet</t>
  </si>
  <si>
    <t>IlEt</t>
  </si>
  <si>
    <t>příměří</t>
  </si>
  <si>
    <t>uvěří</t>
  </si>
  <si>
    <t>jEřÍ</t>
  </si>
  <si>
    <t>Díry</t>
  </si>
  <si>
    <t>beztíže</t>
  </si>
  <si>
    <t>nelíže</t>
  </si>
  <si>
    <t>IžE</t>
  </si>
  <si>
    <t>sněžnic</t>
  </si>
  <si>
    <t>kolejnic</t>
  </si>
  <si>
    <t>ňIc</t>
  </si>
  <si>
    <t>levitace</t>
  </si>
  <si>
    <t>gravitace</t>
  </si>
  <si>
    <t>vItAcE</t>
  </si>
  <si>
    <t>vegetace</t>
  </si>
  <si>
    <t>tAcE</t>
  </si>
  <si>
    <t>kterými mi</t>
  </si>
  <si>
    <t>živými</t>
  </si>
  <si>
    <t>ImI</t>
  </si>
  <si>
    <t>uvidíš</t>
  </si>
  <si>
    <t>níž</t>
  </si>
  <si>
    <t>Skála</t>
  </si>
  <si>
    <t>potřebuju</t>
  </si>
  <si>
    <t>pomiluju</t>
  </si>
  <si>
    <t>chtít</t>
  </si>
  <si>
    <t>žárem</t>
  </si>
  <si>
    <t>harém</t>
  </si>
  <si>
    <t>ArEm</t>
  </si>
  <si>
    <t>opakuju</t>
  </si>
  <si>
    <t>Něco vím</t>
  </si>
  <si>
    <t>pažit</t>
  </si>
  <si>
    <t>snažit</t>
  </si>
  <si>
    <t>najít</t>
  </si>
  <si>
    <t>razit</t>
  </si>
  <si>
    <t>zesílit</t>
  </si>
  <si>
    <t>prozradím</t>
  </si>
  <si>
    <t>Řím</t>
  </si>
  <si>
    <t>tajemství</t>
  </si>
  <si>
    <t>šílenství</t>
  </si>
  <si>
    <t>stvI</t>
  </si>
  <si>
    <t>dovtípit</t>
  </si>
  <si>
    <t>být</t>
  </si>
  <si>
    <t>drzý</t>
  </si>
  <si>
    <t>mrzí</t>
  </si>
  <si>
    <t>rzI</t>
  </si>
  <si>
    <t>mýlit</t>
  </si>
  <si>
    <t>vystřelit</t>
  </si>
  <si>
    <t>lIt</t>
  </si>
  <si>
    <t>vycídit</t>
  </si>
  <si>
    <t>nepustit</t>
  </si>
  <si>
    <t>státy</t>
  </si>
  <si>
    <t>Pláč</t>
  </si>
  <si>
    <t xml:space="preserve">Vzpomínášaž </t>
  </si>
  <si>
    <t>nezastavíšnezastavíš</t>
  </si>
  <si>
    <t>výšky</t>
  </si>
  <si>
    <t>PROBLÉM SE SLOKAMA</t>
  </si>
  <si>
    <t>díru</t>
  </si>
  <si>
    <t>sílu</t>
  </si>
  <si>
    <t>protíná</t>
  </si>
  <si>
    <t>má</t>
  </si>
  <si>
    <t>hravě</t>
  </si>
  <si>
    <t>správně</t>
  </si>
  <si>
    <t>záda</t>
  </si>
  <si>
    <t>zvládat</t>
  </si>
  <si>
    <t>TAKÉ SLOKY</t>
  </si>
  <si>
    <t>PROBLÉM S POSLEDNÍ SLOKOU</t>
  </si>
  <si>
    <t>nemusí</t>
  </si>
  <si>
    <t>síť</t>
  </si>
  <si>
    <t>pocit</t>
  </si>
  <si>
    <t>mocí</t>
  </si>
  <si>
    <t>těla</t>
  </si>
  <si>
    <t>nedělám</t>
  </si>
  <si>
    <t xml:space="preserve">Tvoje oči </t>
  </si>
  <si>
    <t>Brazílii</t>
  </si>
  <si>
    <t>Zvítězili</t>
  </si>
  <si>
    <t>maximum</t>
  </si>
  <si>
    <t>Q3</t>
  </si>
  <si>
    <t>medián</t>
  </si>
  <si>
    <t>Q1</t>
  </si>
  <si>
    <t>minimum</t>
  </si>
  <si>
    <t>O</t>
  </si>
  <si>
    <t>Z</t>
  </si>
  <si>
    <t>CELKEM</t>
  </si>
  <si>
    <t>izometrické</t>
  </si>
  <si>
    <t>stoupavé</t>
  </si>
  <si>
    <t>Celkem</t>
  </si>
  <si>
    <t>Pron+Part+V</t>
  </si>
  <si>
    <t>AmEn</t>
  </si>
  <si>
    <t>3+1</t>
  </si>
  <si>
    <t>1+2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</si>
</sst>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0" fillId="4" borderId="0" xfId="0" applyFill="1"/>
    <xf numFmtId="0" fontId="2" fillId="0" borderId="0" xfId="0" applyFont="1"/>
    <xf numFmtId="49" fontId="0" fillId="0" borderId="0" xfId="0" applyNumberFormat="1"/>
    <xf numFmtId="0" fontId="4" fillId="0" borderId="0" xfId="0" applyFont="1"/>
    <xf numFmtId="49" fontId="3" fillId="0" borderId="0" xfId="0" applyNumberFormat="1" applyFont="1"/>
    <xf numFmtId="0" fontId="3" fillId="0" borderId="0" xfId="0" applyFont="1"/>
    <xf numFmtId="49" fontId="0" fillId="6" borderId="0" xfId="0" applyNumberFormat="1" applyFill="1"/>
    <xf numFmtId="0" fontId="0" fillId="6" borderId="0" xfId="0" applyFill="1"/>
    <xf numFmtId="49" fontId="3" fillId="6" borderId="0" xfId="0" applyNumberFormat="1" applyFont="1" applyFill="1"/>
    <xf numFmtId="0" fontId="3" fillId="6" borderId="0" xfId="0" applyFont="1" applyFill="1"/>
    <xf numFmtId="0" fontId="2" fillId="7" borderId="0" xfId="0" applyFont="1" applyFill="1"/>
    <xf numFmtId="0" fontId="3" fillId="8" borderId="0" xfId="0" applyFont="1" applyFill="1"/>
    <xf numFmtId="0" fontId="0" fillId="8" borderId="0" xfId="0" applyFill="1"/>
    <xf numFmtId="0" fontId="0" fillId="7" borderId="0" xfId="0" applyFill="1"/>
    <xf numFmtId="0" fontId="0" fillId="9" borderId="0" xfId="0" applyFill="1"/>
    <xf numFmtId="16" fontId="0" fillId="0" borderId="0" xfId="0" applyNumberFormat="1"/>
    <xf numFmtId="0" fontId="0" fillId="5" borderId="0" xfId="0" applyFill="1"/>
    <xf numFmtId="49" fontId="0" fillId="5" borderId="0" xfId="0" applyNumberFormat="1" applyFill="1"/>
    <xf numFmtId="49" fontId="0" fillId="3" borderId="0" xfId="0" applyNumberFormat="1" applyFill="1"/>
    <xf numFmtId="49" fontId="0" fillId="10" borderId="0" xfId="0" applyNumberFormat="1" applyFill="1"/>
    <xf numFmtId="49" fontId="0" fillId="4" borderId="0" xfId="0" applyNumberFormat="1" applyFill="1"/>
    <xf numFmtId="49" fontId="0" fillId="2" borderId="0" xfId="0" applyNumberFormat="1" applyFill="1"/>
    <xf numFmtId="49" fontId="3" fillId="10" borderId="0" xfId="0" applyNumberFormat="1" applyFont="1" applyFill="1"/>
    <xf numFmtId="49" fontId="5" fillId="0" borderId="0" xfId="0" applyNumberFormat="1" applyFont="1"/>
    <xf numFmtId="0" fontId="5" fillId="0" borderId="0" xfId="0" applyFont="1"/>
    <xf numFmtId="49" fontId="2" fillId="5" borderId="1" xfId="0" applyNumberFormat="1" applyFont="1" applyFill="1" applyBorder="1" applyAlignment="1">
      <alignment horizontal="center"/>
    </xf>
    <xf numFmtId="49" fontId="2" fillId="5" borderId="2" xfId="0" applyNumberFormat="1" applyFont="1" applyFill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Slabičnost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8A1-4739-B13C-546994A9AC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A1-4739-B13C-546994A9AC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393-448A-86A0-1F917D9121C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List1!$R$4:$R$6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List1!$S$4:$S$6</c:f>
              <c:numCache>
                <c:formatCode>General</c:formatCode>
                <c:ptCount val="3"/>
                <c:pt idx="0">
                  <c:v>110</c:v>
                </c:pt>
                <c:pt idx="1">
                  <c:v>101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B-4F68-8937-F902D39C230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cs-CZ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Stupeň gramatického kontrastu alba Neboj</a:t>
            </a:r>
          </a:p>
        </c:rich>
      </c:tx>
      <c:layout>
        <c:manualLayout>
          <c:xMode val="edge"/>
          <c:yMode val="edge"/>
          <c:x val="0.10065266841644796"/>
          <c:y val="9.298395770474591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cs-CZ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7D6-4AAA-9070-38D0FE025B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7D6-4AAA-9070-38D0FE025B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100-49F0-B9F3-98EFD245DD21}"/>
              </c:ext>
            </c:extLst>
          </c:dPt>
          <c:dLbls>
            <c:dLbl>
              <c:idx val="2"/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cs-CZ"/>
                </a:p>
              </c:txPr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100-49F0-B9F3-98EFD245DD2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List1!$W$64:$W$66</c:f>
              <c:numCache>
                <c:formatCode>General</c:formatCode>
                <c:ptCount val="3"/>
                <c:pt idx="0">
                  <c:v>38</c:v>
                </c:pt>
                <c:pt idx="1">
                  <c:v>4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0-49F0-B9F3-98EFD245DD2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Stupeň gramatického kontrastu alba Dýchej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cs-CZ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1AB-45A1-82AB-C822D85632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1AB-45A1-82AB-C822D85632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1AB-45A1-82AB-C822D85632E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List1!$Y$64:$Y$66</c:f>
              <c:numCache>
                <c:formatCode>General</c:formatCode>
                <c:ptCount val="3"/>
                <c:pt idx="0">
                  <c:v>25</c:v>
                </c:pt>
                <c:pt idx="1">
                  <c:v>9</c:v>
                </c:pt>
                <c:pt idx="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8-4F72-80AB-3A51987A89E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Stupeň gramatického kontrastu alba Čaruj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B60-42B1-8B49-6F90069A08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B60-42B1-8B49-6F90069A08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B60-42B1-8B49-6F90069A089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List1!$AA$67:$AA$69</c:f>
              <c:numCache>
                <c:formatCode>General</c:formatCode>
                <c:ptCount val="3"/>
                <c:pt idx="0">
                  <c:v>24</c:v>
                </c:pt>
                <c:pt idx="1">
                  <c:v>3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C-4A54-82E2-5EB45E483F2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cs-CZ">
                <a:solidFill>
                  <a:sysClr val="windowText" lastClr="000000"/>
                </a:solidFill>
              </a:rPr>
              <a:t>Rytmické celky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cs-CZ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9CD-41F4-9CFB-D613CC6A7D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9CD-41F4-9CFB-D613CC6A7D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9CD-41F4-9CFB-D613CC6A7D8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List1!$R$27:$R$29</c:f>
              <c:strCache>
                <c:ptCount val="3"/>
                <c:pt idx="0">
                  <c:v>izometrické </c:v>
                </c:pt>
                <c:pt idx="1">
                  <c:v>stoupavé </c:v>
                </c:pt>
                <c:pt idx="2">
                  <c:v>klesavé</c:v>
                </c:pt>
              </c:strCache>
            </c:strRef>
          </c:cat>
          <c:val>
            <c:numRef>
              <c:f>List1!$S$27:$S$29</c:f>
              <c:numCache>
                <c:formatCode>General</c:formatCode>
                <c:ptCount val="3"/>
                <c:pt idx="0">
                  <c:v>136</c:v>
                </c:pt>
                <c:pt idx="1">
                  <c:v>37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7-4505-A8E9-347E7FBEAD3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cs-CZ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cs-CZ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Stupeň gramatického kontrastu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cs-CZ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24-49A6-98BB-C2213D8211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24-49A6-98BB-C2213D8211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B24-49A6-98BB-C2213D82111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List1!$R$75:$R$77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List1!$S$75:$S$77</c:f>
              <c:numCache>
                <c:formatCode>General</c:formatCode>
                <c:ptCount val="3"/>
                <c:pt idx="0">
                  <c:v>87</c:v>
                </c:pt>
                <c:pt idx="1">
                  <c:v>16</c:v>
                </c:pt>
                <c:pt idx="2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8-4C11-8587-30CF1E9FBF8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cs-CZ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Slabič</a:t>
            </a:r>
            <a:r>
              <a:rPr lang="cs-CZ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nost alba Neboj</a:t>
            </a:r>
            <a:endParaRPr lang="en-US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cs-CZ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600-4D84-BC2F-25ED1C8B98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600-4D84-BC2F-25ED1C8B98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600-4D84-BC2F-25ED1C8B989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List1!$W$3:$W$5</c:f>
              <c:numCache>
                <c:formatCode>General</c:formatCode>
                <c:ptCount val="3"/>
                <c:pt idx="0">
                  <c:v>34</c:v>
                </c:pt>
                <c:pt idx="1">
                  <c:v>37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8-40DA-87FD-3D726B89608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Slabično</a:t>
            </a:r>
            <a:r>
              <a:rPr lang="cs-CZ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st alba Dýchej</a:t>
            </a:r>
            <a:endParaRPr lang="en-US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979-486D-BD0E-A1919055D5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979-486D-BD0E-A1919055D5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979-486D-BD0E-A1919055D5D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List1!$Y$3:$Y$5</c:f>
              <c:numCache>
                <c:formatCode>General</c:formatCode>
                <c:ptCount val="3"/>
                <c:pt idx="0">
                  <c:v>41</c:v>
                </c:pt>
                <c:pt idx="1">
                  <c:v>44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D-40E1-BACB-1426B13A49D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Slabičnost alba Čaruj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cs-CZ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068-476B-B279-24349CBE15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068-476B-B279-24349CBE15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068-476B-B279-24349CBE150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List1!$AA$3:$AA$5</c:f>
              <c:numCache>
                <c:formatCode>General</c:formatCode>
                <c:ptCount val="3"/>
                <c:pt idx="0">
                  <c:v>35</c:v>
                </c:pt>
                <c:pt idx="1">
                  <c:v>20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4-46B4-9B67-825C8B0A0E2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Rytmické celky 1 alba Neboj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C08-4810-B801-BB4639137A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C08-4810-B801-BB4639137A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C08-4810-B801-BB4639137A3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List1!$V$26:$V$28</c:f>
              <c:strCache>
                <c:ptCount val="3"/>
                <c:pt idx="0">
                  <c:v>izometrické</c:v>
                </c:pt>
                <c:pt idx="1">
                  <c:v>stoupavé</c:v>
                </c:pt>
                <c:pt idx="2">
                  <c:v>klesavé</c:v>
                </c:pt>
              </c:strCache>
            </c:strRef>
          </c:cat>
          <c:val>
            <c:numRef>
              <c:f>List1!$W$26:$W$28</c:f>
              <c:numCache>
                <c:formatCode>General</c:formatCode>
                <c:ptCount val="3"/>
                <c:pt idx="0">
                  <c:v>44</c:v>
                </c:pt>
                <c:pt idx="1">
                  <c:v>18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0-4D46-960A-2AD6123706A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Rytmické celky 1 alba Dýchej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cs-CZ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8C4-40CE-9AF1-C316C7543A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8C4-40CE-9AF1-C316C7543A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8C4-40CE-9AF1-C316C7543A5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List1!$X$26:$X$28</c:f>
              <c:strCache>
                <c:ptCount val="3"/>
                <c:pt idx="0">
                  <c:v>izometrické</c:v>
                </c:pt>
                <c:pt idx="1">
                  <c:v>stoupavé</c:v>
                </c:pt>
                <c:pt idx="2">
                  <c:v>klesavé</c:v>
                </c:pt>
              </c:strCache>
            </c:strRef>
          </c:cat>
          <c:val>
            <c:numRef>
              <c:f>List1!$Y$26:$Y$28</c:f>
              <c:numCache>
                <c:formatCode>General</c:formatCode>
                <c:ptCount val="3"/>
                <c:pt idx="0">
                  <c:v>57</c:v>
                </c:pt>
                <c:pt idx="1">
                  <c:v>9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8-45FD-82C2-58857210F6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Rytmické celky 1 alba Čaruj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cs-CZ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2E4-4305-97D2-3AA80044B0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2E4-4305-97D2-3AA80044B0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2E4-4305-97D2-3AA80044B02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List1!$Z$26:$Z$28</c:f>
              <c:strCache>
                <c:ptCount val="3"/>
                <c:pt idx="0">
                  <c:v>izometrické</c:v>
                </c:pt>
                <c:pt idx="1">
                  <c:v>stoupavé</c:v>
                </c:pt>
                <c:pt idx="2">
                  <c:v>klesavé</c:v>
                </c:pt>
              </c:strCache>
            </c:strRef>
          </c:cat>
          <c:val>
            <c:numRef>
              <c:f>List1!$AA$26:$AA$28</c:f>
              <c:numCache>
                <c:formatCode>General</c:formatCode>
                <c:ptCount val="3"/>
                <c:pt idx="0">
                  <c:v>35</c:v>
                </c:pt>
                <c:pt idx="1">
                  <c:v>10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F-46C5-9437-76AB1DEAFFE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Rytmické celky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cs-CZ" sz="1800" b="0" i="0" u="none" strike="noStrik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Rytmické celky 2</a:t>
          </a:r>
        </a:p>
      </cx:txPr>
    </cx:title>
    <cx:plotArea>
      <cx:plotAreaRegion>
        <cx:series layoutId="treemap" uniqueId="{DBA10AD2-C8AC-4660-8D40-5B0B134905FC}"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600"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cs-CZ" sz="1600" b="0" i="0" u="none" strike="noStrike" baseline="0">
                  <a:solidFill>
                    <a:sysClr val="window" lastClr="FFFFFF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1" value="1"/>
            <cx:separator>; </cx:separator>
          </cx:dataLabels>
          <cx:dataId val="0"/>
          <cx:layoutPr>
            <cx:parentLabelLayout val="overlapping"/>
          </cx:layoutPr>
        </cx:series>
      </cx:plotAreaRegion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900" b="0" i="0">
              <a:solidFill>
                <a:srgbClr val="595959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cs-CZ">
            <a:latin typeface="Times New Roman" panose="02020603050405020304" pitchFamily="18" charset="0"/>
            <a:cs typeface="Times New Roman" panose="02020603050405020304" pitchFamily="18" charset="0"/>
          </a:endParaRPr>
        </a:p>
      </cx:txPr>
    </cx:legend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_xlchart.v1.22</cx:f>
      </cx:strDim>
      <cx:numDim type="size">
        <cx:f>_xlchart.v1.23</cx:f>
      </cx:numDim>
    </cx:data>
  </cx:chartData>
  <cx:chart>
    <cx:title pos="t" align="ctr" overlay="0">
      <cx:tx>
        <cx:txData>
          <cx:v>Slovnědruhová struktura alba Neboj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cs-CZ" sz="1600" b="1" i="0" u="none" strike="noStrik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Slovnědruhová struktura alba Neboj</a:t>
          </a:r>
        </a:p>
      </cx:txPr>
    </cx:title>
    <cx:plotArea>
      <cx:plotAreaRegion>
        <cx:series layoutId="treemap" uniqueId="{C11ACF52-0966-442F-AC28-E13A9FA6D8BE}"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cs-CZ" sz="1100" b="0" i="0" u="none" strike="noStrike" baseline="0">
                  <a:solidFill>
                    <a:sysClr val="window" lastClr="FFFFFF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1" value="1"/>
            <cx:separator>; </cx:separator>
            <cx:dataLabel idx="2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800"/>
                  </a:pPr>
                  <a:r>
                    <a:rPr lang="cs-CZ" sz="800" b="0" i="0" u="none" strike="noStrike" baseline="0">
                      <a:solidFill>
                        <a:sysClr val="window" lastClr="FFFFFF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Adv+V; 1</a:t>
                  </a:r>
                </a:p>
              </cx:txPr>
            </cx:dataLabel>
            <cx:dataLabel idx="6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800"/>
                  </a:pPr>
                  <a:r>
                    <a:rPr lang="cs-CZ" sz="800" b="0" i="0" u="none" strike="noStrike" baseline="0">
                      <a:solidFill>
                        <a:sysClr val="window" lastClr="FFFFFF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Pron+N; 1</a:t>
                  </a:r>
                </a:p>
              </cx:txPr>
            </cx:dataLabel>
            <cx:dataLabel idx="7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800"/>
                  </a:pPr>
                  <a:r>
                    <a:rPr lang="cs-CZ" sz="800" b="0" i="0" u="none" strike="noStrike" baseline="0">
                      <a:solidFill>
                        <a:sysClr val="window" lastClr="FFFFFF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Pron+V; 1</a:t>
                  </a:r>
                </a:p>
              </cx:txPr>
            </cx:dataLabel>
            <cx:dataLabel idx="12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800"/>
                  </a:pPr>
                  <a:r>
                    <a:rPr lang="cs-CZ" sz="800" b="0" i="0" u="none" strike="noStrike" baseline="0">
                      <a:solidFill>
                        <a:sysClr val="window" lastClr="FFFFFF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Adv+Adv; 1</a:t>
                  </a:r>
                </a:p>
              </cx:txPr>
            </cx:dataLabel>
          </cx:dataLabels>
          <cx:dataId val="0"/>
          <cx:layoutPr>
            <cx:parentLabelLayout val="overlapping"/>
          </cx:layoutPr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100"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cs-CZ" sz="1100" b="0" i="0" u="none" strike="noStrike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x:txPr>
    </cx:legend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_xlchart.v1.20</cx:f>
      </cx:strDim>
      <cx:numDim type="size">
        <cx:f>_xlchart.v1.21</cx:f>
      </cx:numDim>
    </cx:data>
  </cx:chartData>
  <cx:chart>
    <cx:title pos="t" align="ctr" overlay="0">
      <cx:tx>
        <cx:txData>
          <cx:v>Slovnědruhová struktura alba Dýchej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cs-CZ" sz="1600" b="1" i="0" u="none" strike="noStrik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Slovnědruhová struktura alba Dýchej</a:t>
          </a:r>
        </a:p>
      </cx:txPr>
    </cx:title>
    <cx:plotArea>
      <cx:plotAreaRegion>
        <cx:series layoutId="treemap" uniqueId="{3365540C-932C-4F68-BC2C-5378AC1F72CC}"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cs-CZ" sz="1100" b="0" i="0" u="none" strike="noStrike" baseline="0">
                  <a:solidFill>
                    <a:sysClr val="window" lastClr="FFFFFF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1" value="1"/>
            <cx:separator>; </cx:separator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800"/>
                  </a:pPr>
                  <a:r>
                    <a:rPr lang="cs-CZ" sz="800" b="0" i="0" u="none" strike="noStrike" baseline="0">
                      <a:solidFill>
                        <a:sysClr val="window" lastClr="FFFFFF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Adv+N; 2</a:t>
                  </a:r>
                </a:p>
              </cx:txPr>
            </cx:dataLabel>
            <cx:dataLabel idx="2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800"/>
                  </a:pPr>
                  <a:r>
                    <a:rPr lang="cs-CZ" sz="800" b="0" i="0" u="none" strike="noStrike" baseline="0">
                      <a:solidFill>
                        <a:sysClr val="window" lastClr="FFFFFF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Adv+Pron; 1</a:t>
                  </a:r>
                </a:p>
              </cx:txPr>
            </cx:dataLabel>
            <cx:dataLabel idx="4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800"/>
                  </a:pPr>
                  <a:r>
                    <a:rPr lang="cs-CZ" sz="800" b="0" i="0" u="none" strike="noStrike" baseline="0">
                      <a:solidFill>
                        <a:sysClr val="window" lastClr="FFFFFF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Conj+V; 1</a:t>
                  </a:r>
                </a:p>
              </cx:txPr>
            </cx:dataLabel>
            <cx:dataLabel idx="8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800"/>
                  </a:pPr>
                  <a:r>
                    <a:rPr lang="cs-CZ" sz="800" b="0" i="0" u="none" strike="noStrike" baseline="0">
                      <a:solidFill>
                        <a:sysClr val="window" lastClr="FFFFFF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Num+V; 1</a:t>
                  </a:r>
                </a:p>
              </cx:txPr>
            </cx:dataLabel>
            <cx:dataLabel idx="1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800"/>
                  </a:pPr>
                  <a:r>
                    <a:rPr lang="cs-CZ" sz="800" b="0" i="0" u="none" strike="noStrike" baseline="0">
                      <a:solidFill>
                        <a:sysClr val="window" lastClr="FFFFFF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Pron+V; 2</a:t>
                  </a:r>
                </a:p>
              </cx:txPr>
            </cx:dataLabel>
          </cx:dataLabels>
          <cx:dataId val="0"/>
          <cx:layoutPr>
            <cx:parentLabelLayout val="overlapping"/>
          </cx:layoutPr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100"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cs-CZ" sz="1100" b="0" i="0" u="none" strike="noStrike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x:txPr>
    </cx:legend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_xlchart.v1.25</cx:f>
      </cx:strDim>
      <cx:numDim type="size">
        <cx:f>_xlchart.v1.24</cx:f>
      </cx:numDim>
    </cx:data>
  </cx:chartData>
  <cx:chart>
    <cx:title pos="t" align="ctr" overlay="0">
      <cx:tx>
        <cx:txData>
          <cx:v>Slovnědruhová struktura alba Čaruj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cs-CZ" sz="1400" b="1" i="0" u="none" strike="noStrik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Slovnědruhová struktura alba Čaruj</a:t>
          </a:r>
        </a:p>
      </cx:txPr>
    </cx:title>
    <cx:plotArea>
      <cx:plotAreaRegion>
        <cx:series layoutId="treemap" uniqueId="{D3E2089D-8B09-4DFC-A7ED-6C277E0C7D47}"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cs-CZ" sz="1100" b="0" i="0" u="none" strike="noStrike" baseline="0">
                  <a:solidFill>
                    <a:sysClr val="window" lastClr="FFFFFF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1" value="1"/>
            <cx:separator>; </cx:separator>
          </cx:dataLabels>
          <cx:dataId val="0"/>
          <cx:layoutPr>
            <cx:parentLabelLayout val="overlapping"/>
          </cx:layoutPr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50"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cs-CZ" sz="105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title pos="t" align="ctr" overlay="0">
      <cx:tx>
        <cx:txData>
          <cx:v>Slovnědruhová struktura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 b="1"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cs-CZ" sz="1800" b="1" i="0" u="none" strike="noStrik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Slovnědruhová struktura</a:t>
          </a:r>
        </a:p>
      </cx:txPr>
    </cx:title>
    <cx:plotArea>
      <cx:plotAreaRegion>
        <cx:series layoutId="treemap" uniqueId="{716DC7D5-57DD-423C-B18C-8B414ED439BF}">
          <cx:dataPt idx="7">
            <cx:spPr>
              <a:solidFill>
                <a:srgbClr val="C00000"/>
              </a:solidFill>
            </cx:spPr>
          </cx:dataPt>
          <cx:dataPt idx="9">
            <cx:spPr>
              <a:solidFill>
                <a:srgbClr val="92D050"/>
              </a:solidFill>
            </cx:spPr>
          </cx:dataPt>
          <cx:dataPt idx="18">
            <cx:spPr>
              <a:solidFill>
                <a:srgbClr val="FFC000">
                  <a:lumMod val="20000"/>
                  <a:lumOff val="80000"/>
                </a:srgbClr>
              </a:solidFill>
            </cx:spPr>
          </cx:dataPt>
          <cx:dataLabels pos="inEnd">
            <cx:txPr>
              <a:bodyPr vertOverflow="overflow" horzOverflow="overflow" wrap="square" lIns="0" tIns="0" rIns="0" bIns="0"/>
              <a:lstStyle/>
              <a:p>
                <a:pPr algn="ctr" rtl="0">
                  <a:defRPr sz="900" b="0" i="0">
                    <a:solidFill>
                      <a:srgbClr val="FFFFFF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cs-CZ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1" value="1"/>
            <cx:separator>; </cx:separator>
            <cx:dataLabel idx="1">
              <cx:txPr>
                <a:bodyPr vertOverflow="overflow" horzOverflow="overflow" wrap="square" lIns="0" tIns="0" rIns="0" bIns="0"/>
                <a:lstStyle/>
                <a:p>
                  <a:pPr algn="ctr" rtl="0">
                    <a:defRPr sz="1200"/>
                  </a:pPr>
                  <a:r>
                    <a:rPr lang="cs-CZ" sz="120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Adj+V; 6</a:t>
                  </a:r>
                </a:p>
              </cx:txPr>
            </cx:dataLabel>
            <cx:dataLabel idx="2">
              <cx:txPr>
                <a:bodyPr vertOverflow="overflow" horzOverflow="overflow" wrap="square" lIns="0" tIns="0" rIns="0" bIns="0"/>
                <a:lstStyle/>
                <a:p>
                  <a:pPr algn="ctr" rtl="0">
                    <a:defRPr sz="1200"/>
                  </a:pPr>
                  <a:r>
                    <a:rPr lang="cs-CZ" sz="120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Adv+N; 7</a:t>
                  </a:r>
                </a:p>
              </cx:txPr>
            </cx:dataLabel>
            <cx:dataLabel idx="4">
              <cx:txPr>
                <a:bodyPr vertOverflow="overflow" horzOverflow="overflow" wrap="square" lIns="0" tIns="0" rIns="0" bIns="0"/>
                <a:lstStyle/>
                <a:p>
                  <a:pPr algn="ctr" rtl="0">
                    <a:defRPr sz="1200"/>
                  </a:pPr>
                  <a:r>
                    <a:rPr lang="cs-CZ" sz="120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Adv+V; 6</a:t>
                  </a:r>
                </a:p>
              </cx:txPr>
            </cx:dataLabel>
            <cx:dataLabel idx="6">
              <cx:txPr>
                <a:bodyPr vertOverflow="overflow" horzOverflow="overflow" wrap="square" lIns="0" tIns="0" rIns="0" bIns="0"/>
                <a:lstStyle/>
                <a:p>
                  <a:pPr algn="ctr" rtl="0">
                    <a:defRPr sz="1200"/>
                  </a:pPr>
                  <a:r>
                    <a:rPr lang="cs-CZ" sz="120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N+Adv; 6</a:t>
                  </a:r>
                </a:p>
              </cx:txPr>
            </cx:dataLabel>
            <cx:dataLabel idx="7">
              <cx:txPr>
                <a:bodyPr vertOverflow="overflow" horzOverflow="overflow" wrap="square" lIns="0" tIns="0" rIns="0" bIns="0"/>
                <a:lstStyle/>
                <a:p>
                  <a:pPr algn="ctr" rtl="0">
                    <a:defRPr sz="2000"/>
                  </a:pPr>
                  <a:r>
                    <a:rPr lang="cs-CZ" sz="200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N+N; 39</a:t>
                  </a:r>
                </a:p>
              </cx:txPr>
            </cx:dataLabel>
            <cx:dataLabel idx="9">
              <cx:txPr>
                <a:bodyPr vertOverflow="overflow" horzOverflow="overflow" wrap="square" lIns="0" tIns="0" rIns="0" bIns="0"/>
                <a:lstStyle/>
                <a:p>
                  <a:pPr algn="ctr" rtl="0">
                    <a:defRPr sz="1600"/>
                  </a:pPr>
                  <a:r>
                    <a:rPr lang="cs-CZ" sz="160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N+V; 28</a:t>
                  </a:r>
                </a:p>
              </cx:txPr>
            </cx:dataLabel>
            <cx:dataLabel idx="13">
              <cx:txPr>
                <a:bodyPr vertOverflow="overflow" horzOverflow="overflow" wrap="square" lIns="0" tIns="0" rIns="0" bIns="0"/>
                <a:lstStyle/>
                <a:p>
                  <a:pPr algn="ctr" rtl="0">
                    <a:defRPr sz="1200"/>
                  </a:pPr>
                  <a:r>
                    <a:rPr lang="cs-CZ" sz="120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V+Adv; 8</a:t>
                  </a:r>
                </a:p>
              </cx:txPr>
            </cx:dataLabel>
            <cx:dataLabel idx="18">
              <cx:txPr>
                <a:bodyPr vertOverflow="overflow" horzOverflow="overflow" wrap="square" lIns="0" tIns="0" rIns="0" bIns="0"/>
                <a:lstStyle/>
                <a:p>
                  <a:pPr algn="ctr" rtl="0">
                    <a:defRPr sz="2000"/>
                  </a:pPr>
                  <a:r>
                    <a:rPr lang="cs-CZ" sz="200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V+V; 59</a:t>
                  </a:r>
                </a:p>
              </cx:txPr>
            </cx:dataLabel>
            <cx:dataLabel idx="19">
              <cx:txPr>
                <a:bodyPr vertOverflow="overflow" horzOverflow="overflow" wrap="square" lIns="0" tIns="0" rIns="0" bIns="0"/>
                <a:lstStyle/>
                <a:p>
                  <a:pPr algn="ctr" rtl="0">
                    <a:defRPr sz="1600"/>
                  </a:pPr>
                  <a:r>
                    <a:rPr lang="cs-CZ" sz="160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V+N; 19</a:t>
                  </a:r>
                </a:p>
              </cx:txPr>
            </cx:dataLabel>
            <cx:dataLabel idx="23">
              <cx:txPr>
                <a:bodyPr vertOverflow="overflow" horzOverflow="overflow" wrap="square" lIns="0" tIns="0" rIns="0" bIns="0"/>
                <a:lstStyle/>
                <a:p>
                  <a:pPr algn="ctr" rtl="0">
                    <a:defRPr sz="800"/>
                  </a:pPr>
                  <a:r>
                    <a:rPr lang="cs-CZ" sz="80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Adv+Adv; 1</a:t>
                  </a:r>
                </a:p>
              </cx:txPr>
            </cx:dataLabel>
            <cx:dataLabel idx="24">
              <cx:txPr>
                <a:bodyPr vertOverflow="overflow" horzOverflow="overflow" wrap="square" lIns="0" tIns="0" rIns="0" bIns="0"/>
                <a:lstStyle/>
                <a:p>
                  <a:pPr algn="ctr" rtl="0">
                    <a:defRPr sz="800"/>
                  </a:pPr>
                  <a:r>
                    <a:rPr lang="cs-CZ" sz="80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Pron+Part ; 1</a:t>
                  </a:r>
                </a:p>
              </cx:txPr>
            </cx:dataLabel>
            <cx:dataLabel idx="25">
              <cx:txPr>
                <a:bodyPr vertOverflow="overflow" horzOverflow="overflow" wrap="square" lIns="0" tIns="0" rIns="0" bIns="0"/>
                <a:lstStyle/>
                <a:p>
                  <a:pPr algn="ctr" rtl="0">
                    <a:defRPr sz="800"/>
                  </a:pPr>
                  <a:r>
                    <a:rPr lang="cs-CZ" sz="80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Pron+Pron+Adj; 1</a:t>
                  </a:r>
                </a:p>
              </cx:txPr>
            </cx:dataLabel>
          </cx:dataLabels>
          <cx:dataId val="0"/>
          <cx:layoutPr>
            <cx:parentLabelLayout val="overlapping"/>
          </cx:layoutPr>
        </cx:series>
      </cx:plotAreaRegion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000" b="0" i="0"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cs-CZ" sz="10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size">
        <cx:f>_xlchart.v1.9</cx:f>
      </cx:numDim>
    </cx:data>
    <cx:data id="1">
      <cx:strDim type="cat">
        <cx:f>_xlchart.v1.8</cx:f>
      </cx:strDim>
      <cx:numDim type="size">
        <cx:f>_xlchart.v1.10</cx:f>
      </cx:numDim>
    </cx:data>
    <cx:data id="2">
      <cx:strDim type="cat">
        <cx:f>_xlchart.v1.8</cx:f>
      </cx:strDim>
      <cx:numDim type="size">
        <cx:f>_xlchart.v1.11</cx:f>
      </cx:numDim>
    </cx:data>
  </cx:chartData>
  <cx:chart>
    <cx:title pos="t" align="ctr" overlay="0">
      <cx:tx>
        <cx:txData>
          <cx:v>Slovnědruhová analýza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cs-CZ" sz="1800" b="1" i="0" u="none" strike="noStrik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Slovnědruhová analýza</a:t>
          </a:r>
        </a:p>
      </cx:txPr>
    </cx:title>
    <cx:plotArea>
      <cx:plotAreaRegion>
        <cx:series layoutId="treemap" uniqueId="{5E3AE7A7-15AD-4B0F-AC43-B5CF7205C568}" formatIdx="0">
          <cx:dataId val="0"/>
          <cx:layoutPr/>
        </cx:series>
        <cx:series layoutId="treemap" hidden="1" uniqueId="{B36E747A-9BEF-4B79-9212-A22FE007F2BC}" formatIdx="1">
          <cx:dataId val="1"/>
          <cx:layoutPr/>
        </cx:series>
        <cx:series layoutId="treemap" hidden="1" uniqueId="{6C4C3242-854B-41D5-B868-CB59211C1747}" formatIdx="2">
          <cx:dataId val="2"/>
          <cx:layoutPr/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100"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cs-CZ" sz="1100" b="0" i="0" u="none" strike="noStrike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size">
        <cx:f>_xlchart.v1.13</cx:f>
      </cx:numDim>
    </cx:data>
  </cx:chartData>
  <cx:chart>
    <cx:title pos="t" align="ctr" overlay="0">
      <cx:tx>
        <cx:txData>
          <cx:v>Rytmické celky 2 alba Dýchej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/>
          </a:pPr>
          <a:r>
            <a:rPr lang="cs-CZ" sz="1800" b="1" i="0" u="none" strike="noStrik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Rytmické celky 2 alba Dýchej </a:t>
          </a:r>
        </a:p>
      </cx:txPr>
    </cx:title>
    <cx:plotArea>
      <cx:plotAreaRegion>
        <cx:series layoutId="treemap" uniqueId="{EF453B90-342E-47F4-BF41-268396DA1A45}"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cs-CZ" sz="1200" b="0" i="0" u="none" strike="noStrike" baseline="0">
                  <a:solidFill>
                    <a:sysClr val="window" lastClr="FFFFFF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1" value="1"/>
            <cx:separator>; </cx:separator>
            <cx:dataLabel idx="5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800"/>
                  </a:pPr>
                  <a:r>
                    <a:rPr lang="cs-CZ" sz="800" b="0" i="0" u="none" strike="noStrike" baseline="0">
                      <a:solidFill>
                        <a:sysClr val="window" lastClr="FFFFFF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4/2; 1</a:t>
                  </a:r>
                </a:p>
              </cx:txPr>
            </cx:dataLabel>
            <cx:dataLabel idx="6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900"/>
                  </a:pPr>
                  <a:r>
                    <a:rPr lang="cs-CZ" sz="900" b="0" i="0" u="none" strike="noStrike" baseline="0">
                      <a:solidFill>
                        <a:sysClr val="window" lastClr="FFFFFF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4/4; 3</a:t>
                  </a:r>
                </a:p>
              </cx:txPr>
            </cx:dataLabel>
            <cx:dataLabel idx="8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900"/>
                  </a:pPr>
                  <a:r>
                    <a:rPr lang="cs-CZ" sz="900" b="0" i="0" u="none" strike="noStrike" baseline="0">
                      <a:solidFill>
                        <a:sysClr val="window" lastClr="FFFFFF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1/4; 2</a:t>
                  </a:r>
                </a:p>
              </cx:txPr>
            </cx:dataLabel>
            <cx:dataLabel idx="1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800"/>
                  </a:pPr>
                  <a:r>
                    <a:rPr lang="cs-CZ" sz="800" b="0" i="0" u="none" strike="noStrike" baseline="0">
                      <a:solidFill>
                        <a:sysClr val="window" lastClr="FFFFFF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2/1; 1</a:t>
                  </a:r>
                </a:p>
              </cx:txPr>
            </cx:dataLabel>
          </cx:dataLabels>
          <cx:dataId val="0"/>
          <cx:layoutPr>
            <cx:parentLabelLayout val="overlapping"/>
          </cx:layoutPr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cs-CZ" sz="1200" b="0" i="0" u="none" strike="noStrike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x:txPr>
    </cx:legend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size">
        <cx:f>_xlchart.v1.15</cx:f>
      </cx:numDim>
    </cx:data>
  </cx:chartData>
  <cx:chart>
    <cx:title pos="t" align="ctr" overlay="0">
      <cx:tx>
        <cx:txData>
          <cx:v>Rytmické celky 2 alba Neboj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cs-CZ" sz="1800" b="1" i="0" u="none" strike="noStrik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Rytmické celky 2 alba Neboj</a:t>
          </a:r>
        </a:p>
      </cx:txPr>
    </cx:title>
    <cx:plotArea>
      <cx:plotAreaRegion>
        <cx:series layoutId="treemap" uniqueId="{0005C16B-4228-41D2-9A02-48382961469E}"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cs-CZ" sz="1200" b="0" i="0" u="none" strike="noStrike" baseline="0">
                  <a:solidFill>
                    <a:sysClr val="window" lastClr="FFFFFF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1" value="1"/>
            <cx:separator>; </cx:separator>
            <cx:dataLabel idx="2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900"/>
                  </a:pPr>
                  <a:r>
                    <a:rPr lang="cs-CZ" sz="900" b="0" i="0" u="none" strike="noStrike" baseline="0">
                      <a:solidFill>
                        <a:sysClr val="window" lastClr="FFFFFF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3/1; 1</a:t>
                  </a:r>
                </a:p>
              </cx:txPr>
            </cx:dataLabel>
          </cx:dataLabels>
          <cx:dataId val="0"/>
          <cx:layoutPr>
            <cx:parentLabelLayout val="overlapping"/>
          </cx:layoutPr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cs-CZ" sz="1200" b="0" i="0" u="none" strike="noStrike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x:txPr>
    </cx:legend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_xlchart.v1.17</cx:f>
      </cx:strDim>
      <cx:numDim type="size">
        <cx:f>_xlchart.v1.16</cx:f>
      </cx:numDim>
    </cx:data>
  </cx:chartData>
  <cx:chart>
    <cx:title pos="t" align="ctr" overlay="0">
      <cx:tx>
        <cx:txData>
          <cx:v>Rytmické celky 2 alba Čaruj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cs-CZ" sz="1800" b="1" i="0" u="none" strike="noStrik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Rytmické celky 2 alba Čaruj</a:t>
          </a:r>
        </a:p>
      </cx:txPr>
    </cx:title>
    <cx:plotArea>
      <cx:plotAreaRegion>
        <cx:series layoutId="treemap" uniqueId="{C07D7E75-E9D5-484D-AC08-78011F2AF5D9}"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cs-CZ" sz="1200" b="0" i="0" u="none" strike="noStrike" baseline="0">
                  <a:solidFill>
                    <a:sysClr val="window" lastClr="FFFFFF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1" value="1"/>
            <cx:separator>; </cx:separator>
            <cx:dataLabel idx="9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800"/>
                  </a:pPr>
                  <a:r>
                    <a:rPr lang="cs-CZ" sz="800" b="0" i="0" u="none" strike="noStrike" baseline="0">
                      <a:solidFill>
                        <a:sysClr val="window" lastClr="FFFFFF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3/2; 1</a:t>
                  </a:r>
                </a:p>
              </cx:txPr>
            </cx:dataLabel>
            <cx:dataLabel idx="1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800"/>
                  </a:pPr>
                  <a:r>
                    <a:rPr lang="cs-CZ" sz="800" b="0" i="0" u="none" strike="noStrike" baseline="0">
                      <a:solidFill>
                        <a:sysClr val="window" lastClr="FFFFFF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2+1/3; 1</a:t>
                  </a:r>
                </a:p>
              </cx:txPr>
            </cx:dataLabel>
            <cx:dataLabel idx="1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800"/>
                  </a:pPr>
                  <a:r>
                    <a:rPr lang="cs-CZ" sz="800" b="0" i="0" u="none" strike="noStrike" baseline="0">
                      <a:solidFill>
                        <a:sysClr val="window" lastClr="FFFFFF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4/3; 1</a:t>
                  </a:r>
                </a:p>
              </cx:txPr>
            </cx:dataLabel>
            <cx:dataLabel idx="12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800"/>
                  </a:pPr>
                  <a:r>
                    <a:rPr lang="cs-CZ" sz="800" b="0" i="0" u="none" strike="noStrike" baseline="0">
                      <a:solidFill>
                        <a:sysClr val="window" lastClr="FFFFFF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1/2; 1</a:t>
                  </a:r>
                </a:p>
              </cx:txPr>
            </cx:dataLabel>
            <cx:dataLabel idx="13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800"/>
                  </a:pPr>
                  <a:r>
                    <a:rPr lang="cs-CZ" sz="800" b="0" i="0" u="none" strike="noStrike" baseline="0">
                      <a:solidFill>
                        <a:sysClr val="window" lastClr="FFFFFF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2/1; 1</a:t>
                  </a:r>
                </a:p>
              </cx:txPr>
            </cx:dataLabel>
            <cx:dataLabel idx="14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800"/>
                  </a:pPr>
                  <a:r>
                    <a:rPr lang="cs-CZ" sz="800" b="0" i="0" u="none" strike="noStrike" baseline="0">
                      <a:solidFill>
                        <a:sysClr val="window" lastClr="FFFFFF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4/1; 1</a:t>
                  </a:r>
                </a:p>
              </cx:txPr>
            </cx:dataLabel>
          </cx:dataLabels>
          <cx:dataId val="0"/>
          <cx:layoutPr>
            <cx:parentLabelLayout val="overlapping"/>
          </cx:layoutPr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cs-CZ" sz="1200" b="0" i="0" u="none" strike="noStrike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x:txPr>
    </cx:legend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size">
        <cx:f>_xlchart.v1.19</cx:f>
      </cx:numDim>
    </cx:data>
  </cx:chartData>
  <cx:chart>
    <cx:title pos="t" align="ctr" overlay="0">
      <cx:tx>
        <cx:txData>
          <cx:v>Slovnědruhová analýza alba Neboj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cs-CZ" sz="1800" b="1" i="0" u="none" strike="noStrik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Slovnědruhová analýza alba Neboj</a:t>
          </a:r>
        </a:p>
      </cx:txPr>
    </cx:title>
    <cx:plotArea>
      <cx:plotAreaRegion>
        <cx:series layoutId="treemap" uniqueId="{652100C3-EEFA-4560-9697-50B5C288B1B4}"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cs-CZ" sz="1200" b="0" i="0" u="none" strike="noStrike" baseline="0">
                  <a:solidFill>
                    <a:sysClr val="window" lastClr="FFFFFF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1" value="1"/>
            <cx:separator>; </cx:separator>
            <cx:dataLabel idx="2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800"/>
                  </a:pPr>
                  <a:r>
                    <a:rPr lang="cs-CZ" sz="800" b="0" i="0" u="none" strike="noStrike" baseline="0">
                      <a:solidFill>
                        <a:sysClr val="window" lastClr="FFFFFF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Pron; 2</a:t>
                  </a:r>
                </a:p>
              </cx:txPr>
            </cx:dataLabel>
          </cx:dataLabels>
          <cx:dataId val="0"/>
          <cx:layoutPr>
            <cx:parentLabelLayout val="overlapping"/>
          </cx:layoutPr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cs-CZ" sz="1200" b="0" i="0" u="none" strike="noStrike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x:txPr>
    </cx:legend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_xlchart.v1.7</cx:f>
      </cx:numDim>
    </cx:data>
  </cx:chartData>
  <cx:chart>
    <cx:title pos="t" align="ctr" overlay="0">
      <cx:tx>
        <cx:txData>
          <cx:v>Slovnědruhová analýza alba Dýchej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ysClr val="windowText" lastClr="000000"/>
              </a:solidFill>
            </a:defRPr>
          </a:pPr>
          <a:r>
            <a:rPr lang="cs-CZ" sz="1800" b="1" i="0" u="none" strike="noStrik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Slovnědruhová analýza alba Dýchej</a:t>
          </a:r>
        </a:p>
      </cx:txPr>
    </cx:title>
    <cx:plotArea>
      <cx:plotAreaRegion>
        <cx:series layoutId="treemap" uniqueId="{36DCE52C-2B6D-4895-B086-353400DA5666}">
          <cx:dataLabels pos="inEnd">
            <cx:visibility seriesName="0" categoryName="1" value="1"/>
            <cx:separator>; </cx:separator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200">
                      <a:latin typeface="Times New Roman" panose="02020603050405020304" pitchFamily="18" charset="0"/>
                      <a:ea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r>
                    <a:rPr lang="cs-CZ" sz="1200" b="0" i="0" u="none" strike="noStrike" baseline="0">
                      <a:solidFill>
                        <a:sysClr val="window" lastClr="FFFFFF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N; 65</a:t>
                  </a:r>
                </a:p>
              </cx:txPr>
            </cx:dataLabel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200">
                      <a:latin typeface="Times New Roman" panose="02020603050405020304" pitchFamily="18" charset="0"/>
                      <a:ea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r>
                    <a:rPr lang="cs-CZ" sz="1200" b="0" i="0" u="none" strike="noStrike" baseline="0">
                      <a:solidFill>
                        <a:sysClr val="window" lastClr="FFFFFF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Adj; 6</a:t>
                  </a:r>
                </a:p>
              </cx:txPr>
            </cx:dataLabel>
            <cx:dataLabel idx="2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200">
                      <a:latin typeface="Times New Roman" panose="02020603050405020304" pitchFamily="18" charset="0"/>
                      <a:ea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r>
                    <a:rPr lang="cs-CZ" sz="1200" b="0" i="0" u="none" strike="noStrike" baseline="0">
                      <a:solidFill>
                        <a:sysClr val="window" lastClr="FFFFFF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Pron; 7</a:t>
                  </a:r>
                </a:p>
              </cx:txPr>
            </cx:dataLabel>
            <cx:dataLabel idx="3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800">
                      <a:latin typeface="Times New Roman" panose="02020603050405020304" pitchFamily="18" charset="0"/>
                      <a:ea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r>
                    <a:rPr lang="cs-CZ" sz="800" b="0" i="0" u="none" strike="noStrike" baseline="0">
                      <a:solidFill>
                        <a:sysClr val="window" lastClr="FFFFFF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Num; 1</a:t>
                  </a:r>
                </a:p>
              </cx:txPr>
            </cx:dataLabel>
            <cx:dataLabel idx="4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200">
                      <a:latin typeface="Times New Roman" panose="02020603050405020304" pitchFamily="18" charset="0"/>
                      <a:ea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r>
                    <a:rPr lang="cs-CZ" sz="1200" b="0" i="0" u="none" strike="noStrike" baseline="0">
                      <a:solidFill>
                        <a:sysClr val="window" lastClr="FFFFFF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V; 80</a:t>
                  </a:r>
                </a:p>
              </cx:txPr>
            </cx:dataLabel>
            <cx:dataLabel idx="5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200">
                      <a:latin typeface="Times New Roman" panose="02020603050405020304" pitchFamily="18" charset="0"/>
                      <a:ea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r>
                    <a:rPr lang="cs-CZ" sz="1200" b="0" i="0" u="none" strike="noStrike" baseline="0">
                      <a:solidFill>
                        <a:sysClr val="window" lastClr="FFFFFF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Adv; 8</a:t>
                  </a:r>
                </a:p>
              </cx:txPr>
            </cx:dataLabel>
            <cx:dataLabel idx="7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800">
                      <a:latin typeface="Times New Roman" panose="02020603050405020304" pitchFamily="18" charset="0"/>
                      <a:ea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r>
                    <a:rPr lang="cs-CZ" sz="800" b="0" i="0" u="none" strike="noStrike" baseline="0">
                      <a:solidFill>
                        <a:sysClr val="window" lastClr="FFFFFF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Interj; 2</a:t>
                  </a:r>
                </a:p>
              </cx:txPr>
            </cx:dataLabel>
          </cx:dataLabels>
          <cx:dataId val="0"/>
          <cx:layoutPr>
            <cx:parentLabelLayout val="overlapping"/>
          </cx:layoutPr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cs-CZ" sz="1200" b="0" i="0" u="none" strike="noStrike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x:txPr>
    </cx:legend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size">
        <cx:f>_xlchart.v1.4</cx:f>
      </cx:numDim>
    </cx:data>
  </cx:chartData>
  <cx:chart>
    <cx:title pos="t" align="ctr" overlay="0">
      <cx:tx>
        <cx:txData>
          <cx:v>Slovnědruhová analýza alba Čaruj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cs-CZ" sz="1800" b="1" i="0" u="none" strike="noStrik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Slovnědruhová analýza alba Čaruj</a:t>
          </a:r>
        </a:p>
      </cx:txPr>
    </cx:title>
    <cx:plotArea>
      <cx:plotAreaRegion>
        <cx:series layoutId="treemap" uniqueId="{607F4240-6A4E-49CF-989F-535A18A59B6B}"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cs-CZ" sz="1200" b="0" i="0" u="none" strike="noStrike" baseline="0">
                  <a:solidFill>
                    <a:sysClr val="window" lastClr="FFFFFF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1" value="1"/>
            <cx:separator>; </cx:separator>
            <cx:dataLabel idx="4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800"/>
                  </a:pPr>
                  <a:r>
                    <a:rPr lang="cs-CZ" sz="800" b="0" i="0" u="none" strike="noStrike" baseline="0">
                      <a:solidFill>
                        <a:sysClr val="window" lastClr="FFFFFF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Adv; 3</a:t>
                  </a:r>
                </a:p>
              </cx:txPr>
            </cx:dataLabel>
            <cx:dataLabel idx="6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800"/>
                  </a:pPr>
                  <a:r>
                    <a:rPr lang="cs-CZ" sz="800" b="0" i="0" u="none" strike="noStrike" baseline="0">
                      <a:solidFill>
                        <a:sysClr val="window" lastClr="FFFFFF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Pron+Pron; 2</a:t>
                  </a:r>
                </a:p>
              </cx:txPr>
            </cx:dataLabel>
          </cx:dataLabels>
          <cx:dataId val="0"/>
          <cx:layoutPr>
            <cx:parentLabelLayout val="overlapping"/>
          </cx:layoutPr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cs-CZ" sz="1200" b="0" i="0" u="none" strike="noStrike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13" Type="http://schemas.microsoft.com/office/2014/relationships/chartEx" Target="../charts/chartEx4.xml"/><Relationship Id="rId18" Type="http://schemas.microsoft.com/office/2014/relationships/chartEx" Target="../charts/chartEx9.xml"/><Relationship Id="rId3" Type="http://schemas.openxmlformats.org/officeDocument/2006/relationships/chart" Target="../charts/chart2.xml"/><Relationship Id="rId21" Type="http://schemas.microsoft.com/office/2014/relationships/chartEx" Target="../charts/chartEx12.xml"/><Relationship Id="rId7" Type="http://schemas.openxmlformats.org/officeDocument/2006/relationships/chart" Target="../charts/chart4.xml"/><Relationship Id="rId12" Type="http://schemas.openxmlformats.org/officeDocument/2006/relationships/chart" Target="../charts/chart9.xml"/><Relationship Id="rId17" Type="http://schemas.microsoft.com/office/2014/relationships/chartEx" Target="../charts/chartEx8.xml"/><Relationship Id="rId2" Type="http://schemas.microsoft.com/office/2014/relationships/chartEx" Target="../charts/chartEx1.xml"/><Relationship Id="rId16" Type="http://schemas.microsoft.com/office/2014/relationships/chartEx" Target="../charts/chartEx7.xml"/><Relationship Id="rId20" Type="http://schemas.microsoft.com/office/2014/relationships/chartEx" Target="../charts/chartEx11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11" Type="http://schemas.openxmlformats.org/officeDocument/2006/relationships/chart" Target="../charts/chart8.xml"/><Relationship Id="rId24" Type="http://schemas.openxmlformats.org/officeDocument/2006/relationships/chart" Target="../charts/chart12.xml"/><Relationship Id="rId5" Type="http://schemas.microsoft.com/office/2014/relationships/chartEx" Target="../charts/chartEx2.xml"/><Relationship Id="rId15" Type="http://schemas.microsoft.com/office/2014/relationships/chartEx" Target="../charts/chartEx6.xml"/><Relationship Id="rId23" Type="http://schemas.openxmlformats.org/officeDocument/2006/relationships/chart" Target="../charts/chart11.xml"/><Relationship Id="rId10" Type="http://schemas.openxmlformats.org/officeDocument/2006/relationships/chart" Target="../charts/chart7.xml"/><Relationship Id="rId19" Type="http://schemas.microsoft.com/office/2014/relationships/chartEx" Target="../charts/chartEx10.xml"/><Relationship Id="rId4" Type="http://schemas.openxmlformats.org/officeDocument/2006/relationships/chart" Target="../charts/chart3.xml"/><Relationship Id="rId9" Type="http://schemas.openxmlformats.org/officeDocument/2006/relationships/chart" Target="../charts/chart6.xml"/><Relationship Id="rId14" Type="http://schemas.microsoft.com/office/2014/relationships/chartEx" Target="../charts/chartEx5.xml"/><Relationship Id="rId2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325260</xdr:colOff>
      <xdr:row>65</xdr:row>
      <xdr:rowOff>126577</xdr:rowOff>
    </xdr:from>
    <xdr:to>
      <xdr:col>86</xdr:col>
      <xdr:colOff>48683</xdr:colOff>
      <xdr:row>80</xdr:row>
      <xdr:rowOff>147179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F865F48F-5A43-4C8A-B948-4D21B5455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87</xdr:col>
      <xdr:colOff>110293</xdr:colOff>
      <xdr:row>0</xdr:row>
      <xdr:rowOff>136266</xdr:rowOff>
    </xdr:from>
    <xdr:to>
      <xdr:col>97</xdr:col>
      <xdr:colOff>204145</xdr:colOff>
      <xdr:row>35</xdr:row>
      <xdr:rowOff>3855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 2">
              <a:extLst>
                <a:ext uri="{FF2B5EF4-FFF2-40B4-BE49-F238E27FC236}">
                  <a16:creationId xmlns:a16="http://schemas.microsoft.com/office/drawing/2014/main" id="{2C79FF7E-616E-4A2F-BD8E-682590F8EC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889693" y="136266"/>
              <a:ext cx="6189852" cy="62836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  <xdr:twoCellAnchor>
    <xdr:from>
      <xdr:col>78</xdr:col>
      <xdr:colOff>294026</xdr:colOff>
      <xdr:row>1</xdr:row>
      <xdr:rowOff>67122</xdr:rowOff>
    </xdr:from>
    <xdr:to>
      <xdr:col>85</xdr:col>
      <xdr:colOff>583363</xdr:colOff>
      <xdr:row>16</xdr:row>
      <xdr:rowOff>60068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585E7F41-5050-4BD5-AC88-1FD8FAFC1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78</xdr:col>
      <xdr:colOff>205599</xdr:colOff>
      <xdr:row>20</xdr:row>
      <xdr:rowOff>126154</xdr:rowOff>
    </xdr:from>
    <xdr:to>
      <xdr:col>85</xdr:col>
      <xdr:colOff>510399</xdr:colOff>
      <xdr:row>35</xdr:row>
      <xdr:rowOff>126154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16D931D0-0339-476A-B47C-A9C1F9FC3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87</xdr:col>
      <xdr:colOff>50958</xdr:colOff>
      <xdr:row>37</xdr:row>
      <xdr:rowOff>12046</xdr:rowOff>
    </xdr:from>
    <xdr:to>
      <xdr:col>98</xdr:col>
      <xdr:colOff>48065</xdr:colOff>
      <xdr:row>76</xdr:row>
      <xdr:rowOff>131133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f 6">
              <a:extLst>
                <a:ext uri="{FF2B5EF4-FFF2-40B4-BE49-F238E27FC236}">
                  <a16:creationId xmlns:a16="http://schemas.microsoft.com/office/drawing/2014/main" id="{0ADCF5D9-E156-77D8-2E20-107FE6963F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830358" y="6793846"/>
              <a:ext cx="6702707" cy="72742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  <xdr:twoCellAnchor>
    <xdr:from>
      <xdr:col>76</xdr:col>
      <xdr:colOff>571711</xdr:colOff>
      <xdr:row>39</xdr:row>
      <xdr:rowOff>149200</xdr:rowOff>
    </xdr:from>
    <xdr:to>
      <xdr:col>86</xdr:col>
      <xdr:colOff>343537</xdr:colOff>
      <xdr:row>61</xdr:row>
      <xdr:rowOff>109302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 9">
              <a:extLst>
                <a:ext uri="{FF2B5EF4-FFF2-40B4-BE49-F238E27FC236}">
                  <a16:creationId xmlns:a16="http://schemas.microsoft.com/office/drawing/2014/main" id="{903402DF-F766-8CD2-1A32-263A543383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45511" y="7296760"/>
              <a:ext cx="5867826" cy="40063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  <xdr:twoCellAnchor>
    <xdr:from>
      <xdr:col>69</xdr:col>
      <xdr:colOff>134620</xdr:colOff>
      <xdr:row>21</xdr:row>
      <xdr:rowOff>168064</xdr:rowOff>
    </xdr:from>
    <xdr:to>
      <xdr:col>76</xdr:col>
      <xdr:colOff>439420</xdr:colOff>
      <xdr:row>36</xdr:row>
      <xdr:rowOff>147744</xdr:rowOff>
    </xdr:to>
    <xdr:graphicFrame macro="">
      <xdr:nvGraphicFramePr>
        <xdr:cNvPr id="12" name="Graf 11">
          <a:extLst>
            <a:ext uri="{FF2B5EF4-FFF2-40B4-BE49-F238E27FC236}">
              <a16:creationId xmlns:a16="http://schemas.microsoft.com/office/drawing/2014/main" id="{B814E885-01FD-4EAF-FAAE-4CB8DEF17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68</xdr:col>
      <xdr:colOff>516467</xdr:colOff>
      <xdr:row>43</xdr:row>
      <xdr:rowOff>79587</xdr:rowOff>
    </xdr:from>
    <xdr:to>
      <xdr:col>76</xdr:col>
      <xdr:colOff>228600</xdr:colOff>
      <xdr:row>58</xdr:row>
      <xdr:rowOff>79587</xdr:rowOff>
    </xdr:to>
    <xdr:graphicFrame macro="">
      <xdr:nvGraphicFramePr>
        <xdr:cNvPr id="13" name="Graf 12">
          <a:extLst>
            <a:ext uri="{FF2B5EF4-FFF2-40B4-BE49-F238E27FC236}">
              <a16:creationId xmlns:a16="http://schemas.microsoft.com/office/drawing/2014/main" id="{68A1EABB-5A55-FCF3-59B4-034BD28B0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69</xdr:col>
      <xdr:colOff>207423</xdr:colOff>
      <xdr:row>1</xdr:row>
      <xdr:rowOff>152105</xdr:rowOff>
    </xdr:from>
    <xdr:to>
      <xdr:col>76</xdr:col>
      <xdr:colOff>522069</xdr:colOff>
      <xdr:row>16</xdr:row>
      <xdr:rowOff>152105</xdr:rowOff>
    </xdr:to>
    <xdr:graphicFrame macro="">
      <xdr:nvGraphicFramePr>
        <xdr:cNvPr id="14" name="Graf 13">
          <a:extLst>
            <a:ext uri="{FF2B5EF4-FFF2-40B4-BE49-F238E27FC236}">
              <a16:creationId xmlns:a16="http://schemas.microsoft.com/office/drawing/2014/main" id="{435BA4A9-2FA5-17C6-9CA6-7BBD0D493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60</xdr:col>
      <xdr:colOff>240090</xdr:colOff>
      <xdr:row>22</xdr:row>
      <xdr:rowOff>43543</xdr:rowOff>
    </xdr:from>
    <xdr:to>
      <xdr:col>67</xdr:col>
      <xdr:colOff>544890</xdr:colOff>
      <xdr:row>37</xdr:row>
      <xdr:rowOff>4839</xdr:rowOff>
    </xdr:to>
    <xdr:graphicFrame macro="">
      <xdr:nvGraphicFramePr>
        <xdr:cNvPr id="15" name="Graf 14">
          <a:extLst>
            <a:ext uri="{FF2B5EF4-FFF2-40B4-BE49-F238E27FC236}">
              <a16:creationId xmlns:a16="http://schemas.microsoft.com/office/drawing/2014/main" id="{647C17DD-AC0B-19A9-CADD-7258B5F69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59</xdr:col>
      <xdr:colOff>439663</xdr:colOff>
      <xdr:row>44</xdr:row>
      <xdr:rowOff>145748</xdr:rowOff>
    </xdr:from>
    <xdr:to>
      <xdr:col>67</xdr:col>
      <xdr:colOff>151796</xdr:colOff>
      <xdr:row>59</xdr:row>
      <xdr:rowOff>113091</xdr:rowOff>
    </xdr:to>
    <xdr:graphicFrame macro="">
      <xdr:nvGraphicFramePr>
        <xdr:cNvPr id="16" name="Graf 15">
          <a:extLst>
            <a:ext uri="{FF2B5EF4-FFF2-40B4-BE49-F238E27FC236}">
              <a16:creationId xmlns:a16="http://schemas.microsoft.com/office/drawing/2014/main" id="{B84178E9-C67D-AF2B-4B2E-2356238EC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60</xdr:col>
      <xdr:colOff>265490</xdr:colOff>
      <xdr:row>2</xdr:row>
      <xdr:rowOff>17538</xdr:rowOff>
    </xdr:from>
    <xdr:to>
      <xdr:col>67</xdr:col>
      <xdr:colOff>553357</xdr:colOff>
      <xdr:row>17</xdr:row>
      <xdr:rowOff>27214</xdr:rowOff>
    </xdr:to>
    <xdr:graphicFrame macro="">
      <xdr:nvGraphicFramePr>
        <xdr:cNvPr id="17" name="Graf 16">
          <a:extLst>
            <a:ext uri="{FF2B5EF4-FFF2-40B4-BE49-F238E27FC236}">
              <a16:creationId xmlns:a16="http://schemas.microsoft.com/office/drawing/2014/main" id="{8BC3AF56-B6FD-EEAD-A5A3-1668C3215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50</xdr:col>
      <xdr:colOff>558933</xdr:colOff>
      <xdr:row>43</xdr:row>
      <xdr:rowOff>14155</xdr:rowOff>
    </xdr:from>
    <xdr:to>
      <xdr:col>58</xdr:col>
      <xdr:colOff>273182</xdr:colOff>
      <xdr:row>58</xdr:row>
      <xdr:rowOff>78449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Graf 18">
              <a:extLst>
                <a:ext uri="{FF2B5EF4-FFF2-40B4-BE49-F238E27FC236}">
                  <a16:creationId xmlns:a16="http://schemas.microsoft.com/office/drawing/2014/main" id="{E49BD68E-6EFF-0528-2D6F-E3A8BCD316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783133" y="7717975"/>
              <a:ext cx="4591049" cy="29903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  <xdr:twoCellAnchor>
    <xdr:from>
      <xdr:col>51</xdr:col>
      <xdr:colOff>404151</xdr:colOff>
      <xdr:row>22</xdr:row>
      <xdr:rowOff>39289</xdr:rowOff>
    </xdr:from>
    <xdr:to>
      <xdr:col>59</xdr:col>
      <xdr:colOff>132953</xdr:colOff>
      <xdr:row>37</xdr:row>
      <xdr:rowOff>103583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Graf 19">
              <a:extLst>
                <a:ext uri="{FF2B5EF4-FFF2-40B4-BE49-F238E27FC236}">
                  <a16:creationId xmlns:a16="http://schemas.microsoft.com/office/drawing/2014/main" id="{77066503-9FAD-927C-6CD5-1EF8DB2D96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237951" y="4077889"/>
              <a:ext cx="4605602" cy="28074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  <xdr:twoCellAnchor>
    <xdr:from>
      <xdr:col>51</xdr:col>
      <xdr:colOff>196453</xdr:colOff>
      <xdr:row>2</xdr:row>
      <xdr:rowOff>15479</xdr:rowOff>
    </xdr:from>
    <xdr:to>
      <xdr:col>58</xdr:col>
      <xdr:colOff>503369</xdr:colOff>
      <xdr:row>17</xdr:row>
      <xdr:rowOff>110199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Graf 20">
              <a:extLst>
                <a:ext uri="{FF2B5EF4-FFF2-40B4-BE49-F238E27FC236}">
                  <a16:creationId xmlns:a16="http://schemas.microsoft.com/office/drawing/2014/main" id="{A2054D6B-BB71-3A8F-CBA1-77CB29BC5F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030253" y="396479"/>
              <a:ext cx="4574116" cy="2837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  <xdr:twoCellAnchor>
    <xdr:from>
      <xdr:col>42</xdr:col>
      <xdr:colOff>428017</xdr:colOff>
      <xdr:row>21</xdr:row>
      <xdr:rowOff>175904</xdr:rowOff>
    </xdr:from>
    <xdr:to>
      <xdr:col>50</xdr:col>
      <xdr:colOff>146218</xdr:colOff>
      <xdr:row>36</xdr:row>
      <xdr:rowOff>173019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Graf 21">
              <a:extLst>
                <a:ext uri="{FF2B5EF4-FFF2-40B4-BE49-F238E27FC236}">
                  <a16:creationId xmlns:a16="http://schemas.microsoft.com/office/drawing/2014/main" id="{A24F8484-A4C8-B6D0-7768-ED4E1487A4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75417" y="4031624"/>
              <a:ext cx="4595001" cy="27403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  <xdr:twoCellAnchor>
    <xdr:from>
      <xdr:col>42</xdr:col>
      <xdr:colOff>351233</xdr:colOff>
      <xdr:row>43</xdr:row>
      <xdr:rowOff>110727</xdr:rowOff>
    </xdr:from>
    <xdr:to>
      <xdr:col>50</xdr:col>
      <xdr:colOff>65483</xdr:colOff>
      <xdr:row>58</xdr:row>
      <xdr:rowOff>175021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Graf 22">
              <a:extLst>
                <a:ext uri="{FF2B5EF4-FFF2-40B4-BE49-F238E27FC236}">
                  <a16:creationId xmlns:a16="http://schemas.microsoft.com/office/drawing/2014/main" id="{047F9161-CA1F-52FB-FB61-13DDEEF740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698633" y="7814547"/>
              <a:ext cx="4591050" cy="29903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  <xdr:twoCellAnchor>
    <xdr:from>
      <xdr:col>42</xdr:col>
      <xdr:colOff>398859</xdr:colOff>
      <xdr:row>2</xdr:row>
      <xdr:rowOff>27384</xdr:rowOff>
    </xdr:from>
    <xdr:to>
      <xdr:col>50</xdr:col>
      <xdr:colOff>113109</xdr:colOff>
      <xdr:row>17</xdr:row>
      <xdr:rowOff>91678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5" name="Graf 24">
              <a:extLst>
                <a:ext uri="{FF2B5EF4-FFF2-40B4-BE49-F238E27FC236}">
                  <a16:creationId xmlns:a16="http://schemas.microsoft.com/office/drawing/2014/main" id="{CE78E3B8-306A-8BF9-FA04-FDFEC02458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46259" y="408384"/>
              <a:ext cx="4591050" cy="28074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  <xdr:twoCellAnchor>
    <xdr:from>
      <xdr:col>32</xdr:col>
      <xdr:colOff>291703</xdr:colOff>
      <xdr:row>21</xdr:row>
      <xdr:rowOff>134541</xdr:rowOff>
    </xdr:from>
    <xdr:to>
      <xdr:col>40</xdr:col>
      <xdr:colOff>5953</xdr:colOff>
      <xdr:row>37</xdr:row>
      <xdr:rowOff>20241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6" name="Graf 25">
              <a:extLst>
                <a:ext uri="{FF2B5EF4-FFF2-40B4-BE49-F238E27FC236}">
                  <a16:creationId xmlns:a16="http://schemas.microsoft.com/office/drawing/2014/main" id="{921B7ABD-04A8-8A21-D99D-1E0F1FCFC2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543103" y="3990261"/>
              <a:ext cx="4591050" cy="2811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  <xdr:twoCellAnchor>
    <xdr:from>
      <xdr:col>32</xdr:col>
      <xdr:colOff>339328</xdr:colOff>
      <xdr:row>39</xdr:row>
      <xdr:rowOff>39290</xdr:rowOff>
    </xdr:from>
    <xdr:to>
      <xdr:col>40</xdr:col>
      <xdr:colOff>53578</xdr:colOff>
      <xdr:row>54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7" name="Graf 26">
              <a:extLst>
                <a:ext uri="{FF2B5EF4-FFF2-40B4-BE49-F238E27FC236}">
                  <a16:creationId xmlns:a16="http://schemas.microsoft.com/office/drawing/2014/main" id="{A9BB1958-0A1C-1FF1-3E35-289534A86A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590728" y="7186850"/>
              <a:ext cx="4591050" cy="27696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  <xdr:twoCellAnchor>
    <xdr:from>
      <xdr:col>32</xdr:col>
      <xdr:colOff>98324</xdr:colOff>
      <xdr:row>1</xdr:row>
      <xdr:rowOff>122137</xdr:rowOff>
    </xdr:from>
    <xdr:to>
      <xdr:col>40</xdr:col>
      <xdr:colOff>246959</xdr:colOff>
      <xdr:row>19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8" name="Graf 27">
              <a:extLst>
                <a:ext uri="{FF2B5EF4-FFF2-40B4-BE49-F238E27FC236}">
                  <a16:creationId xmlns:a16="http://schemas.microsoft.com/office/drawing/2014/main" id="{291C680D-9971-B337-4B75-13EB214498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349724" y="312637"/>
              <a:ext cx="5025435" cy="31773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  <xdr:twoCellAnchor>
    <xdr:from>
      <xdr:col>42</xdr:col>
      <xdr:colOff>454891</xdr:colOff>
      <xdr:row>78</xdr:row>
      <xdr:rowOff>168565</xdr:rowOff>
    </xdr:from>
    <xdr:to>
      <xdr:col>50</xdr:col>
      <xdr:colOff>150091</xdr:colOff>
      <xdr:row>94</xdr:row>
      <xdr:rowOff>55419</xdr:rowOff>
    </xdr:to>
    <xdr:graphicFrame macro="">
      <xdr:nvGraphicFramePr>
        <xdr:cNvPr id="29" name="Graf 28">
          <a:extLst>
            <a:ext uri="{FF2B5EF4-FFF2-40B4-BE49-F238E27FC236}">
              <a16:creationId xmlns:a16="http://schemas.microsoft.com/office/drawing/2014/main" id="{ADB9645A-DD52-88E0-0E6D-F1B367E7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42</xdr:col>
      <xdr:colOff>475082</xdr:colOff>
      <xdr:row>97</xdr:row>
      <xdr:rowOff>64655</xdr:rowOff>
    </xdr:from>
    <xdr:to>
      <xdr:col>50</xdr:col>
      <xdr:colOff>177370</xdr:colOff>
      <xdr:row>112</xdr:row>
      <xdr:rowOff>106219</xdr:rowOff>
    </xdr:to>
    <xdr:graphicFrame macro="">
      <xdr:nvGraphicFramePr>
        <xdr:cNvPr id="30" name="Graf 29">
          <a:extLst>
            <a:ext uri="{FF2B5EF4-FFF2-40B4-BE49-F238E27FC236}">
              <a16:creationId xmlns:a16="http://schemas.microsoft.com/office/drawing/2014/main" id="{41825D02-779C-ED61-753F-0EB4F8C29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42</xdr:col>
      <xdr:colOff>390236</xdr:colOff>
      <xdr:row>61</xdr:row>
      <xdr:rowOff>140854</xdr:rowOff>
    </xdr:from>
    <xdr:to>
      <xdr:col>50</xdr:col>
      <xdr:colOff>73891</xdr:colOff>
      <xdr:row>77</xdr:row>
      <xdr:rowOff>4618</xdr:rowOff>
    </xdr:to>
    <xdr:graphicFrame macro="">
      <xdr:nvGraphicFramePr>
        <xdr:cNvPr id="31" name="Graf 30">
          <a:extLst>
            <a:ext uri="{FF2B5EF4-FFF2-40B4-BE49-F238E27FC236}">
              <a16:creationId xmlns:a16="http://schemas.microsoft.com/office/drawing/2014/main" id="{2F12B29C-EA85-BCB0-F647-38EF150F6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⁠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1D93C-3ADC-4EAA-9EE2-B1A513EFFF3D}">
  <dimension ref="B1:AB248"/>
  <sheetViews>
    <sheetView tabSelected="1" zoomScale="43" zoomScaleNormal="55" workbookViewId="0">
      <selection activeCell="R226" sqref="R226"/>
    </sheetView>
  </sheetViews>
  <sheetFormatPr defaultRowHeight="14.4" x14ac:dyDescent="0.3"/>
  <cols>
    <col min="4" max="4" width="18" bestFit="1" customWidth="1"/>
    <col min="5" max="5" width="16.33203125" bestFit="1" customWidth="1"/>
    <col min="6" max="6" width="11.33203125" bestFit="1" customWidth="1"/>
    <col min="7" max="7" width="10.109375" bestFit="1" customWidth="1"/>
    <col min="12" max="12" width="9.5546875" bestFit="1" customWidth="1"/>
    <col min="14" max="14" width="12.6640625" style="8" bestFit="1" customWidth="1"/>
    <col min="15" max="15" width="26.6640625" bestFit="1" customWidth="1"/>
    <col min="17" max="17" width="11.33203125" bestFit="1" customWidth="1"/>
    <col min="18" max="18" width="26.6640625" style="8" bestFit="1" customWidth="1"/>
    <col min="20" max="20" width="13.44140625" bestFit="1" customWidth="1"/>
    <col min="22" max="22" width="44.88671875" customWidth="1"/>
    <col min="23" max="23" width="12.21875" customWidth="1"/>
    <col min="24" max="24" width="34.77734375" customWidth="1"/>
    <col min="25" max="25" width="15.33203125" customWidth="1"/>
    <col min="26" max="26" width="26.6640625" customWidth="1"/>
  </cols>
  <sheetData>
    <row r="1" spans="2:28" ht="15" thickBot="1" x14ac:dyDescent="0.35">
      <c r="V1" t="s">
        <v>81</v>
      </c>
      <c r="X1" t="s">
        <v>221</v>
      </c>
      <c r="Z1" t="s">
        <v>352</v>
      </c>
    </row>
    <row r="2" spans="2:28" ht="15" thickBot="1" x14ac:dyDescent="0.35">
      <c r="B2" s="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s="8" t="s">
        <v>11</v>
      </c>
      <c r="O2" t="s">
        <v>12</v>
      </c>
      <c r="R2" s="31" t="s">
        <v>13</v>
      </c>
      <c r="S2" s="32"/>
      <c r="V2" t="s">
        <v>20</v>
      </c>
      <c r="X2" t="s">
        <v>20</v>
      </c>
      <c r="Z2" t="s">
        <v>20</v>
      </c>
    </row>
    <row r="3" spans="2:28" x14ac:dyDescent="0.3">
      <c r="B3" s="6" t="s">
        <v>14</v>
      </c>
      <c r="D3" s="1" t="s">
        <v>15</v>
      </c>
      <c r="E3" t="s">
        <v>16</v>
      </c>
      <c r="F3" t="s">
        <v>17</v>
      </c>
      <c r="G3" t="s">
        <v>18</v>
      </c>
      <c r="H3">
        <v>2</v>
      </c>
      <c r="I3">
        <v>4</v>
      </c>
      <c r="J3">
        <v>4</v>
      </c>
      <c r="K3" t="str">
        <f>_xlfn.CONCAT(I3,"/",J3)</f>
        <v>4/4</v>
      </c>
      <c r="L3" t="s">
        <v>19</v>
      </c>
      <c r="M3" t="s">
        <v>19</v>
      </c>
      <c r="N3" s="8" t="str">
        <f>_xlfn.CONCAT(L3,"+",M3)</f>
        <v>V+V</v>
      </c>
      <c r="O3">
        <v>0</v>
      </c>
      <c r="R3" s="8" t="s">
        <v>20</v>
      </c>
      <c r="V3">
        <v>1</v>
      </c>
      <c r="W3">
        <f>COUNTIF(H3:H84,"1")</f>
        <v>34</v>
      </c>
      <c r="X3">
        <v>1</v>
      </c>
      <c r="Y3">
        <f>COUNTIF(H86:H180,"1")</f>
        <v>41</v>
      </c>
      <c r="Z3">
        <v>1</v>
      </c>
      <c r="AA3">
        <f>COUNTIF(H182:H248,"1")</f>
        <v>35</v>
      </c>
    </row>
    <row r="4" spans="2:28" x14ac:dyDescent="0.3">
      <c r="B4" s="19" t="s">
        <v>21</v>
      </c>
      <c r="E4" t="s">
        <v>17</v>
      </c>
      <c r="F4" t="s">
        <v>22</v>
      </c>
      <c r="G4" t="s">
        <v>18</v>
      </c>
      <c r="H4">
        <v>2</v>
      </c>
      <c r="I4">
        <v>4</v>
      </c>
      <c r="J4">
        <v>2</v>
      </c>
      <c r="K4" t="str">
        <f t="shared" ref="K4:K62" si="0">_xlfn.CONCAT(I4,"/",J4)</f>
        <v>4/2</v>
      </c>
      <c r="L4" t="s">
        <v>19</v>
      </c>
      <c r="M4" t="s">
        <v>19</v>
      </c>
      <c r="N4" s="8" t="str">
        <f t="shared" ref="N4:N63" si="1">_xlfn.CONCAT(L4,"+",M4)</f>
        <v>V+V</v>
      </c>
      <c r="O4">
        <v>0</v>
      </c>
      <c r="R4" s="8">
        <v>1</v>
      </c>
      <c r="S4">
        <f>COUNTIF(H:H,"1")</f>
        <v>110</v>
      </c>
      <c r="V4">
        <v>2</v>
      </c>
      <c r="W4">
        <f>COUNTIF(H3:H84,"2")</f>
        <v>37</v>
      </c>
      <c r="X4">
        <v>2</v>
      </c>
      <c r="Y4">
        <f>COUNTIF(H86:H180,"2")</f>
        <v>44</v>
      </c>
      <c r="Z4">
        <v>2</v>
      </c>
      <c r="AA4">
        <f>COUNTIF(H182:H248,"2")</f>
        <v>20</v>
      </c>
    </row>
    <row r="5" spans="2:28" x14ac:dyDescent="0.3">
      <c r="E5" t="s">
        <v>22</v>
      </c>
      <c r="F5" t="s">
        <v>23</v>
      </c>
      <c r="G5" t="s">
        <v>24</v>
      </c>
      <c r="H5">
        <v>2</v>
      </c>
      <c r="I5">
        <v>2</v>
      </c>
      <c r="J5">
        <v>3</v>
      </c>
      <c r="K5" t="str">
        <f t="shared" si="0"/>
        <v>2/3</v>
      </c>
      <c r="L5" t="s">
        <v>19</v>
      </c>
      <c r="M5" t="s">
        <v>25</v>
      </c>
      <c r="N5" s="8" t="str">
        <f t="shared" si="1"/>
        <v>V+N</v>
      </c>
      <c r="O5">
        <v>2</v>
      </c>
      <c r="R5" s="8">
        <v>2</v>
      </c>
      <c r="S5">
        <f>COUNTIF(H:H,"2")</f>
        <v>101</v>
      </c>
      <c r="V5">
        <v>3</v>
      </c>
      <c r="W5">
        <f>COUNTIF(H3:H84,"3")</f>
        <v>1</v>
      </c>
      <c r="X5">
        <v>3</v>
      </c>
      <c r="Y5">
        <f>COUNTIF(H100:H180,"3")</f>
        <v>0</v>
      </c>
      <c r="Z5">
        <v>3</v>
      </c>
      <c r="AA5">
        <f>COUNTIF(H182:H248,"3")</f>
        <v>1</v>
      </c>
    </row>
    <row r="6" spans="2:28" x14ac:dyDescent="0.3">
      <c r="E6" t="s">
        <v>26</v>
      </c>
      <c r="F6" t="s">
        <v>26</v>
      </c>
      <c r="G6" t="s">
        <v>27</v>
      </c>
      <c r="H6">
        <v>2</v>
      </c>
      <c r="I6">
        <v>2</v>
      </c>
      <c r="J6">
        <v>2</v>
      </c>
      <c r="K6" t="str">
        <f t="shared" si="0"/>
        <v>2/2</v>
      </c>
      <c r="L6" t="s">
        <v>19</v>
      </c>
      <c r="M6" t="s">
        <v>19</v>
      </c>
      <c r="N6" s="8" t="str">
        <f t="shared" si="1"/>
        <v>V+V</v>
      </c>
      <c r="O6">
        <v>0</v>
      </c>
      <c r="R6" s="8" t="s">
        <v>28</v>
      </c>
      <c r="S6">
        <f>COUNTIF(H:H,"3")</f>
        <v>2</v>
      </c>
      <c r="T6" s="20" t="s">
        <v>29</v>
      </c>
      <c r="V6" s="22" t="s">
        <v>31</v>
      </c>
      <c r="W6" s="22">
        <v>72</v>
      </c>
      <c r="X6" s="22" t="s">
        <v>31</v>
      </c>
      <c r="Y6" s="22">
        <v>85</v>
      </c>
      <c r="Z6" s="22" t="s">
        <v>31</v>
      </c>
      <c r="AA6" s="22">
        <v>56</v>
      </c>
    </row>
    <row r="7" spans="2:28" x14ac:dyDescent="0.3">
      <c r="E7" t="s">
        <v>26</v>
      </c>
      <c r="F7" t="s">
        <v>30</v>
      </c>
      <c r="G7" t="s">
        <v>27</v>
      </c>
      <c r="H7">
        <v>2</v>
      </c>
      <c r="I7">
        <v>2</v>
      </c>
      <c r="J7">
        <v>4</v>
      </c>
      <c r="K7" t="str">
        <f t="shared" si="0"/>
        <v>2/4</v>
      </c>
      <c r="L7" t="s">
        <v>19</v>
      </c>
      <c r="M7" t="s">
        <v>19</v>
      </c>
      <c r="N7" s="8" t="str">
        <f t="shared" si="1"/>
        <v>V+V</v>
      </c>
      <c r="O7">
        <v>0</v>
      </c>
      <c r="R7" s="12" t="s">
        <v>31</v>
      </c>
      <c r="S7" s="13">
        <f>SUM(S4:S6)</f>
        <v>213</v>
      </c>
      <c r="T7" s="20">
        <f>S7*2</f>
        <v>426</v>
      </c>
    </row>
    <row r="8" spans="2:28" x14ac:dyDescent="0.3">
      <c r="E8" t="s">
        <v>32</v>
      </c>
      <c r="F8" t="s">
        <v>33</v>
      </c>
      <c r="G8" t="s">
        <v>34</v>
      </c>
      <c r="H8">
        <v>2</v>
      </c>
      <c r="I8">
        <v>2</v>
      </c>
      <c r="J8">
        <v>4</v>
      </c>
      <c r="K8" t="str">
        <f t="shared" si="0"/>
        <v>2/4</v>
      </c>
      <c r="L8" t="s">
        <v>19</v>
      </c>
      <c r="M8" t="s">
        <v>19</v>
      </c>
      <c r="N8" s="8" t="str">
        <f t="shared" si="1"/>
        <v>V+V</v>
      </c>
      <c r="O8">
        <v>0</v>
      </c>
      <c r="R8" s="12" t="s">
        <v>35</v>
      </c>
      <c r="V8" t="s">
        <v>35</v>
      </c>
      <c r="X8" t="s">
        <v>35</v>
      </c>
      <c r="Z8" t="s">
        <v>35</v>
      </c>
    </row>
    <row r="9" spans="2:28" x14ac:dyDescent="0.3">
      <c r="E9" t="s">
        <v>36</v>
      </c>
      <c r="F9" t="s">
        <v>37</v>
      </c>
      <c r="G9" t="s">
        <v>24</v>
      </c>
      <c r="H9">
        <v>2</v>
      </c>
      <c r="I9">
        <v>2</v>
      </c>
      <c r="J9">
        <v>4</v>
      </c>
      <c r="K9" t="str">
        <f t="shared" si="0"/>
        <v>2/4</v>
      </c>
      <c r="L9" t="s">
        <v>25</v>
      </c>
      <c r="M9" t="s">
        <v>19</v>
      </c>
      <c r="N9" s="8" t="str">
        <f t="shared" si="1"/>
        <v>N+V</v>
      </c>
      <c r="O9">
        <v>2</v>
      </c>
      <c r="R9" s="8" t="s">
        <v>38</v>
      </c>
      <c r="S9">
        <v>1</v>
      </c>
      <c r="V9" s="24" t="s">
        <v>39</v>
      </c>
      <c r="W9">
        <f>COUNTIF(K3:K84,"1/1")</f>
        <v>14</v>
      </c>
      <c r="X9" s="24" t="s">
        <v>39</v>
      </c>
      <c r="Y9">
        <f>COUNTIF(K86:K180,"1/1")</f>
        <v>15</v>
      </c>
      <c r="Z9" s="26" t="s">
        <v>39</v>
      </c>
      <c r="AA9">
        <f>COUNTIF(K182:K248,"1/1")</f>
        <v>8</v>
      </c>
      <c r="AB9" s="6"/>
    </row>
    <row r="10" spans="2:28" x14ac:dyDescent="0.3">
      <c r="E10" t="s">
        <v>26</v>
      </c>
      <c r="F10" t="s">
        <v>26</v>
      </c>
      <c r="G10" t="s">
        <v>27</v>
      </c>
      <c r="H10">
        <v>2</v>
      </c>
      <c r="I10">
        <v>2</v>
      </c>
      <c r="J10">
        <v>2</v>
      </c>
      <c r="K10" t="str">
        <f t="shared" si="0"/>
        <v>2/2</v>
      </c>
      <c r="L10" t="s">
        <v>19</v>
      </c>
      <c r="M10" t="s">
        <v>19</v>
      </c>
      <c r="N10" s="8" t="str">
        <f t="shared" si="1"/>
        <v>V+V</v>
      </c>
      <c r="O10">
        <v>0</v>
      </c>
      <c r="R10" s="8" t="s">
        <v>39</v>
      </c>
      <c r="S10">
        <f>COUNTIF(K:K,"1/1")</f>
        <v>37</v>
      </c>
      <c r="T10" s="21"/>
      <c r="V10" s="25" t="s">
        <v>41</v>
      </c>
      <c r="W10">
        <f>COUNTIF(K3:K84,"1/3")</f>
        <v>6</v>
      </c>
      <c r="X10" s="25" t="s">
        <v>41</v>
      </c>
      <c r="Y10">
        <f>COUNTIF(K86:K180,"1/3")</f>
        <v>7</v>
      </c>
      <c r="Z10" s="25" t="s">
        <v>41</v>
      </c>
      <c r="AA10">
        <f>COUNTIF(K182:K248,"1/3")</f>
        <v>3</v>
      </c>
    </row>
    <row r="11" spans="2:28" x14ac:dyDescent="0.3">
      <c r="E11" t="s">
        <v>40</v>
      </c>
      <c r="F11" t="s">
        <v>30</v>
      </c>
      <c r="G11" t="s">
        <v>27</v>
      </c>
      <c r="H11">
        <v>2</v>
      </c>
      <c r="I11">
        <v>2</v>
      </c>
      <c r="J11">
        <v>4</v>
      </c>
      <c r="K11" t="str">
        <f t="shared" si="0"/>
        <v>2/4</v>
      </c>
      <c r="L11" t="s">
        <v>19</v>
      </c>
      <c r="M11" t="s">
        <v>19</v>
      </c>
      <c r="N11" s="8" t="str">
        <f t="shared" si="1"/>
        <v>V+V</v>
      </c>
      <c r="O11">
        <v>0</v>
      </c>
      <c r="R11" s="8" t="s">
        <v>41</v>
      </c>
      <c r="S11">
        <f>COUNTIF(K:K,"1/3")</f>
        <v>16</v>
      </c>
      <c r="V11" s="27" t="s">
        <v>44</v>
      </c>
      <c r="W11">
        <f>COUNTIF(K3:K84,"3/1")</f>
        <v>1</v>
      </c>
      <c r="X11" s="27" t="s">
        <v>44</v>
      </c>
      <c r="Y11">
        <f>COUNTIF(K86:K180,"3/1")</f>
        <v>6</v>
      </c>
      <c r="Z11" s="27" t="s">
        <v>44</v>
      </c>
      <c r="AA11">
        <f>COUNTIF(K182:K248,"3/1")</f>
        <v>3</v>
      </c>
    </row>
    <row r="12" spans="2:28" x14ac:dyDescent="0.3">
      <c r="E12" t="s">
        <v>42</v>
      </c>
      <c r="F12" t="s">
        <v>43</v>
      </c>
      <c r="G12" t="s">
        <v>34</v>
      </c>
      <c r="H12">
        <v>2</v>
      </c>
      <c r="I12">
        <v>2</v>
      </c>
      <c r="J12">
        <v>4</v>
      </c>
      <c r="K12" t="str">
        <f t="shared" si="0"/>
        <v>2/4</v>
      </c>
      <c r="L12" t="s">
        <v>25</v>
      </c>
      <c r="M12" t="s">
        <v>19</v>
      </c>
      <c r="N12" s="8" t="str">
        <f t="shared" si="1"/>
        <v>N+V</v>
      </c>
      <c r="O12">
        <v>2</v>
      </c>
      <c r="R12" s="8" t="s">
        <v>44</v>
      </c>
      <c r="S12">
        <f>COUNTIF(K:K,"3/1")</f>
        <v>10</v>
      </c>
      <c r="V12" s="24" t="s">
        <v>45</v>
      </c>
      <c r="W12">
        <f>COUNTIF(K3:K84,"3/3")</f>
        <v>7</v>
      </c>
      <c r="X12" s="24" t="s">
        <v>45</v>
      </c>
      <c r="Y12">
        <f>COUNTIF(K86:K180,"3/3")</f>
        <v>19</v>
      </c>
      <c r="Z12" s="26" t="s">
        <v>45</v>
      </c>
      <c r="AA12">
        <f>COUNTIF(K182:K248,"3/3")</f>
        <v>8</v>
      </c>
    </row>
    <row r="13" spans="2:28" x14ac:dyDescent="0.3">
      <c r="R13" s="8" t="s">
        <v>45</v>
      </c>
      <c r="S13">
        <f>COUNTIF(K:K,"3/3")</f>
        <v>34</v>
      </c>
      <c r="V13" s="24" t="s">
        <v>50</v>
      </c>
      <c r="W13">
        <f>COUNTIF(K3:K84,"2/2")</f>
        <v>19</v>
      </c>
      <c r="X13" s="24" t="s">
        <v>50</v>
      </c>
      <c r="Y13">
        <f>COUNTIF(K86:K180,"2/2")</f>
        <v>20</v>
      </c>
      <c r="Z13" s="26" t="s">
        <v>50</v>
      </c>
      <c r="AA13">
        <f>COUNTIF(K182:K248,"2/2")</f>
        <v>12</v>
      </c>
    </row>
    <row r="14" spans="2:28" x14ac:dyDescent="0.3">
      <c r="D14" s="1" t="s">
        <v>46</v>
      </c>
      <c r="E14" t="s">
        <v>47</v>
      </c>
      <c r="F14" t="s">
        <v>48</v>
      </c>
      <c r="G14" t="s">
        <v>49</v>
      </c>
      <c r="H14">
        <v>1</v>
      </c>
      <c r="I14">
        <v>1</v>
      </c>
      <c r="J14">
        <v>3</v>
      </c>
      <c r="K14" t="str">
        <f t="shared" si="0"/>
        <v>1/3</v>
      </c>
      <c r="L14" t="s">
        <v>25</v>
      </c>
      <c r="M14" t="s">
        <v>25</v>
      </c>
      <c r="N14" s="8" t="str">
        <f t="shared" si="1"/>
        <v>N+N</v>
      </c>
      <c r="O14">
        <v>0</v>
      </c>
      <c r="R14" s="8" t="s">
        <v>50</v>
      </c>
      <c r="S14">
        <f>COUNTIF(K:K,"2/2")</f>
        <v>51</v>
      </c>
      <c r="V14" s="25" t="s">
        <v>53</v>
      </c>
      <c r="W14">
        <f>COUNTIF(K3:K84,"2/4")</f>
        <v>6</v>
      </c>
      <c r="X14" s="27" t="s">
        <v>55</v>
      </c>
      <c r="Y14">
        <f>COUNTIF(K86:K180,"4/2")</f>
        <v>1</v>
      </c>
      <c r="Z14" s="25" t="s">
        <v>53</v>
      </c>
      <c r="AA14">
        <f>COUNTIF(K182:K248,"2/4")</f>
        <v>3</v>
      </c>
    </row>
    <row r="15" spans="2:28" x14ac:dyDescent="0.3">
      <c r="E15" t="s">
        <v>51</v>
      </c>
      <c r="F15" t="s">
        <v>52</v>
      </c>
      <c r="G15" t="s">
        <v>34</v>
      </c>
      <c r="H15">
        <v>2</v>
      </c>
      <c r="I15">
        <v>2</v>
      </c>
      <c r="J15">
        <v>2</v>
      </c>
      <c r="K15" t="str">
        <f t="shared" si="0"/>
        <v>2/2</v>
      </c>
      <c r="L15" t="s">
        <v>25</v>
      </c>
      <c r="M15" t="s">
        <v>19</v>
      </c>
      <c r="N15" s="8" t="str">
        <f t="shared" si="1"/>
        <v>N+V</v>
      </c>
      <c r="O15">
        <v>2</v>
      </c>
      <c r="R15" s="8" t="s">
        <v>53</v>
      </c>
      <c r="S15">
        <f>COUNTIF(K:K,"2/4")</f>
        <v>9</v>
      </c>
      <c r="V15" s="27" t="s">
        <v>55</v>
      </c>
      <c r="W15">
        <f>COUNTIF(K3:K84,"4/2")</f>
        <v>2</v>
      </c>
      <c r="X15" s="24" t="s">
        <v>60</v>
      </c>
      <c r="Y15">
        <f>COUNTIF(K86:K180,"4/4")</f>
        <v>3</v>
      </c>
      <c r="Z15" s="27" t="s">
        <v>55</v>
      </c>
      <c r="AA15">
        <f>COUNTIF(K182:K248,"4/2")</f>
        <v>3</v>
      </c>
    </row>
    <row r="16" spans="2:28" x14ac:dyDescent="0.3">
      <c r="E16" t="s">
        <v>52</v>
      </c>
      <c r="F16" t="s">
        <v>54</v>
      </c>
      <c r="G16" t="s">
        <v>34</v>
      </c>
      <c r="H16">
        <v>2</v>
      </c>
      <c r="I16">
        <v>2</v>
      </c>
      <c r="J16">
        <v>2</v>
      </c>
      <c r="K16" t="str">
        <f t="shared" si="0"/>
        <v>2/2</v>
      </c>
      <c r="L16" t="s">
        <v>19</v>
      </c>
      <c r="M16" t="s">
        <v>25</v>
      </c>
      <c r="N16" s="8" t="str">
        <f t="shared" si="1"/>
        <v>V+N</v>
      </c>
      <c r="O16">
        <v>2</v>
      </c>
      <c r="R16" s="8" t="s">
        <v>55</v>
      </c>
      <c r="S16">
        <f>COUNTIF(K:K,"4/2")</f>
        <v>6</v>
      </c>
      <c r="V16" s="26" t="s">
        <v>60</v>
      </c>
      <c r="W16">
        <f>COUNTIF(K3:K84,"4/4")</f>
        <v>4</v>
      </c>
      <c r="X16" s="27" t="s">
        <v>64</v>
      </c>
      <c r="Y16">
        <f>COUNTIF(K86:K180,"3/2")</f>
        <v>8</v>
      </c>
      <c r="Z16" s="26" t="s">
        <v>60</v>
      </c>
      <c r="AA16">
        <f>COUNTIF(K182:K248,"4/4")</f>
        <v>5</v>
      </c>
    </row>
    <row r="17" spans="4:27" x14ac:dyDescent="0.3">
      <c r="E17" t="s">
        <v>56</v>
      </c>
      <c r="F17" t="s">
        <v>57</v>
      </c>
      <c r="G17" t="s">
        <v>58</v>
      </c>
      <c r="H17">
        <v>1</v>
      </c>
      <c r="I17">
        <v>1</v>
      </c>
      <c r="J17">
        <v>1</v>
      </c>
      <c r="K17" t="str">
        <f t="shared" si="0"/>
        <v>1/1</v>
      </c>
      <c r="L17" t="s">
        <v>19</v>
      </c>
      <c r="M17" t="s">
        <v>59</v>
      </c>
      <c r="N17" s="8" t="str">
        <f t="shared" si="1"/>
        <v>V+Adv</v>
      </c>
      <c r="O17">
        <v>2</v>
      </c>
      <c r="R17" s="8" t="s">
        <v>60</v>
      </c>
      <c r="S17">
        <f>COUNTIF(K:K,"4/4")</f>
        <v>12</v>
      </c>
      <c r="V17" s="25" t="s">
        <v>62</v>
      </c>
      <c r="W17">
        <f>COUNTIF(K3:K84,"2/3")</f>
        <v>4</v>
      </c>
      <c r="X17" s="25" t="s">
        <v>66</v>
      </c>
      <c r="Y17">
        <f>COUNTIF(K86:K180,"1/4")</f>
        <v>2</v>
      </c>
      <c r="Z17" s="25" t="s">
        <v>62</v>
      </c>
      <c r="AA17">
        <f>COUNTIF(K182:K248,"2/3")</f>
        <v>3</v>
      </c>
    </row>
    <row r="18" spans="4:27" x14ac:dyDescent="0.3">
      <c r="E18" t="s">
        <v>57</v>
      </c>
      <c r="F18" t="s">
        <v>61</v>
      </c>
      <c r="G18" t="s">
        <v>58</v>
      </c>
      <c r="H18">
        <v>1</v>
      </c>
      <c r="I18">
        <v>1</v>
      </c>
      <c r="J18">
        <v>1</v>
      </c>
      <c r="K18" t="str">
        <f t="shared" si="0"/>
        <v>1/1</v>
      </c>
      <c r="L18" t="s">
        <v>59</v>
      </c>
      <c r="M18" t="s">
        <v>19</v>
      </c>
      <c r="N18" s="8" t="str">
        <f t="shared" si="1"/>
        <v>Adv+V</v>
      </c>
      <c r="O18">
        <v>2</v>
      </c>
      <c r="R18" s="8" t="s">
        <v>62</v>
      </c>
      <c r="S18">
        <f>COUNTIF(K:K,"2/3")</f>
        <v>7</v>
      </c>
      <c r="V18" s="27" t="s">
        <v>64</v>
      </c>
      <c r="W18">
        <f>COUNTIF(K3:K84,"3/2")</f>
        <v>5</v>
      </c>
      <c r="X18" s="27" t="s">
        <v>69</v>
      </c>
      <c r="Y18">
        <f>COUNTIF(K86:K180,"4/3")</f>
        <v>3</v>
      </c>
      <c r="Z18" s="27" t="s">
        <v>64</v>
      </c>
      <c r="AA18">
        <f>COUNTIF(K182:K248,"3/2")</f>
        <v>1</v>
      </c>
    </row>
    <row r="19" spans="4:27" x14ac:dyDescent="0.3">
      <c r="E19" t="s">
        <v>47</v>
      </c>
      <c r="F19" t="s">
        <v>63</v>
      </c>
      <c r="G19" t="s">
        <v>49</v>
      </c>
      <c r="H19">
        <v>1</v>
      </c>
      <c r="I19">
        <v>1</v>
      </c>
      <c r="J19">
        <v>1</v>
      </c>
      <c r="K19" t="str">
        <f t="shared" si="0"/>
        <v>1/1</v>
      </c>
      <c r="L19" t="s">
        <v>25</v>
      </c>
      <c r="M19" t="s">
        <v>25</v>
      </c>
      <c r="N19" s="8" t="str">
        <f t="shared" si="1"/>
        <v>N+N</v>
      </c>
      <c r="O19">
        <v>0</v>
      </c>
      <c r="R19" s="8" t="s">
        <v>64</v>
      </c>
      <c r="S19">
        <f>COUNTIF(K:K,"3/2")</f>
        <v>14</v>
      </c>
      <c r="V19" s="27" t="s">
        <v>69</v>
      </c>
      <c r="W19">
        <f>COUNTIF(K3:K84,"4/3")</f>
        <v>2</v>
      </c>
      <c r="X19" s="27" t="s">
        <v>75</v>
      </c>
      <c r="Y19">
        <f>COUNTIF(K86:K180,"2/1")</f>
        <v>1</v>
      </c>
      <c r="Z19" s="26" t="s">
        <v>38</v>
      </c>
      <c r="AA19">
        <v>1</v>
      </c>
    </row>
    <row r="20" spans="4:27" x14ac:dyDescent="0.3">
      <c r="E20" t="s">
        <v>63</v>
      </c>
      <c r="F20" t="s">
        <v>65</v>
      </c>
      <c r="G20" t="s">
        <v>49</v>
      </c>
      <c r="H20">
        <v>1</v>
      </c>
      <c r="I20">
        <v>1</v>
      </c>
      <c r="J20">
        <v>1</v>
      </c>
      <c r="K20" t="str">
        <f t="shared" si="0"/>
        <v>1/1</v>
      </c>
      <c r="L20" t="s">
        <v>25</v>
      </c>
      <c r="M20" t="s">
        <v>25</v>
      </c>
      <c r="N20" s="8" t="str">
        <f t="shared" si="1"/>
        <v>N+N</v>
      </c>
      <c r="O20">
        <v>0</v>
      </c>
      <c r="R20" s="8" t="s">
        <v>66</v>
      </c>
      <c r="S20">
        <f>COUNTIF(K:K,"1/4")</f>
        <v>2</v>
      </c>
      <c r="V20" s="28" t="s">
        <v>73</v>
      </c>
      <c r="W20">
        <f>COUNTIF(K3:K84,"1/2")</f>
        <v>2</v>
      </c>
      <c r="X20" s="27"/>
      <c r="Z20" s="27" t="s">
        <v>69</v>
      </c>
      <c r="AA20">
        <f>COUNTIF(K182:K248,"4/3")</f>
        <v>0</v>
      </c>
    </row>
    <row r="21" spans="4:27" x14ac:dyDescent="0.3">
      <c r="E21" t="s">
        <v>65</v>
      </c>
      <c r="F21" t="s">
        <v>67</v>
      </c>
      <c r="G21" t="s">
        <v>68</v>
      </c>
      <c r="H21">
        <v>1</v>
      </c>
      <c r="I21">
        <v>1</v>
      </c>
      <c r="J21">
        <v>1</v>
      </c>
      <c r="K21" t="str">
        <f t="shared" si="0"/>
        <v>1/1</v>
      </c>
      <c r="L21" t="s">
        <v>25</v>
      </c>
      <c r="M21" t="s">
        <v>19</v>
      </c>
      <c r="N21" s="8" t="str">
        <f t="shared" si="1"/>
        <v>N+V</v>
      </c>
      <c r="O21">
        <v>2</v>
      </c>
      <c r="R21" s="8" t="s">
        <v>69</v>
      </c>
      <c r="S21">
        <f>COUNTIF(K:K,"4/3")</f>
        <v>5</v>
      </c>
      <c r="V21" s="8"/>
      <c r="X21" s="27"/>
      <c r="Z21" s="28" t="s">
        <v>73</v>
      </c>
      <c r="AA21">
        <f>COUNTIF(K182:K248,"1/2")</f>
        <v>1</v>
      </c>
    </row>
    <row r="22" spans="4:27" x14ac:dyDescent="0.3">
      <c r="E22" t="s">
        <v>70</v>
      </c>
      <c r="F22" t="s">
        <v>71</v>
      </c>
      <c r="G22" t="s">
        <v>72</v>
      </c>
      <c r="H22">
        <v>2</v>
      </c>
      <c r="I22">
        <v>2</v>
      </c>
      <c r="J22">
        <v>3</v>
      </c>
      <c r="K22" t="str">
        <f t="shared" si="0"/>
        <v>2/3</v>
      </c>
      <c r="L22" t="s">
        <v>25</v>
      </c>
      <c r="M22" t="s">
        <v>25</v>
      </c>
      <c r="N22" s="8" t="str">
        <f t="shared" si="1"/>
        <v>N+N</v>
      </c>
      <c r="O22">
        <v>1</v>
      </c>
      <c r="R22" s="10" t="s">
        <v>73</v>
      </c>
      <c r="S22" s="11">
        <f>COUNTIF(K:K,"1/2")</f>
        <v>3</v>
      </c>
      <c r="V22" s="8"/>
      <c r="X22" s="27"/>
      <c r="Z22" s="27" t="s">
        <v>75</v>
      </c>
      <c r="AA22">
        <f>COUNTIF(K182:K248,"2/1")</f>
        <v>1</v>
      </c>
    </row>
    <row r="23" spans="4:27" x14ac:dyDescent="0.3">
      <c r="E23" t="s">
        <v>71</v>
      </c>
      <c r="F23" t="s">
        <v>74</v>
      </c>
      <c r="G23" t="s">
        <v>72</v>
      </c>
      <c r="H23">
        <v>2</v>
      </c>
      <c r="I23">
        <v>3</v>
      </c>
      <c r="J23">
        <v>2</v>
      </c>
      <c r="K23" t="str">
        <f t="shared" si="0"/>
        <v>3/2</v>
      </c>
      <c r="L23" t="s">
        <v>25</v>
      </c>
      <c r="M23" t="s">
        <v>25</v>
      </c>
      <c r="N23" s="8" t="str">
        <f t="shared" si="1"/>
        <v>N+N</v>
      </c>
      <c r="O23">
        <v>0</v>
      </c>
      <c r="R23" s="8" t="s">
        <v>75</v>
      </c>
      <c r="S23">
        <f>COUNTIF(K:K,"2/1")</f>
        <v>2</v>
      </c>
      <c r="V23" s="8"/>
      <c r="X23" s="27"/>
      <c r="Z23" s="27" t="s">
        <v>77</v>
      </c>
      <c r="AA23">
        <f>COUNTIF(K182:K248,"4/1")</f>
        <v>1</v>
      </c>
    </row>
    <row r="24" spans="4:27" x14ac:dyDescent="0.3">
      <c r="E24" t="s">
        <v>74</v>
      </c>
      <c r="F24" t="s">
        <v>76</v>
      </c>
      <c r="G24" t="s">
        <v>72</v>
      </c>
      <c r="H24">
        <v>2</v>
      </c>
      <c r="I24">
        <v>2</v>
      </c>
      <c r="J24">
        <v>2</v>
      </c>
      <c r="K24" t="str">
        <f t="shared" si="0"/>
        <v>2/2</v>
      </c>
      <c r="L24" t="s">
        <v>25</v>
      </c>
      <c r="M24" t="s">
        <v>59</v>
      </c>
      <c r="N24" s="8" t="str">
        <f t="shared" si="1"/>
        <v>N+Adv</v>
      </c>
      <c r="O24">
        <v>2</v>
      </c>
      <c r="R24" s="8" t="s">
        <v>77</v>
      </c>
      <c r="S24">
        <f>(COUNTIF(K:K,"4/1"))</f>
        <v>1</v>
      </c>
      <c r="V24" s="23" t="s">
        <v>513</v>
      </c>
      <c r="W24" s="22">
        <v>72</v>
      </c>
      <c r="X24" s="23" t="s">
        <v>513</v>
      </c>
      <c r="Y24" s="22">
        <f>SUM(Y9:Y19)</f>
        <v>85</v>
      </c>
      <c r="Z24" s="23" t="s">
        <v>513</v>
      </c>
      <c r="AA24" s="22">
        <v>56</v>
      </c>
    </row>
    <row r="25" spans="4:27" x14ac:dyDescent="0.3">
      <c r="E25" t="s">
        <v>78</v>
      </c>
      <c r="F25" t="s">
        <v>79</v>
      </c>
      <c r="G25" t="s">
        <v>72</v>
      </c>
      <c r="H25">
        <v>2</v>
      </c>
      <c r="I25">
        <v>2</v>
      </c>
      <c r="J25">
        <v>3</v>
      </c>
      <c r="K25" t="str">
        <f t="shared" si="0"/>
        <v>2/3</v>
      </c>
      <c r="L25" t="s">
        <v>59</v>
      </c>
      <c r="M25" t="s">
        <v>25</v>
      </c>
      <c r="N25" s="8" t="str">
        <f t="shared" si="1"/>
        <v>Adv+N</v>
      </c>
      <c r="O25">
        <v>2</v>
      </c>
      <c r="R25" s="12" t="s">
        <v>31</v>
      </c>
      <c r="S25" s="13">
        <v>213</v>
      </c>
      <c r="V25" s="8" t="s">
        <v>80</v>
      </c>
      <c r="X25" s="8" t="s">
        <v>80</v>
      </c>
      <c r="Z25" s="8" t="s">
        <v>80</v>
      </c>
    </row>
    <row r="26" spans="4:27" x14ac:dyDescent="0.3">
      <c r="R26" s="8" t="s">
        <v>80</v>
      </c>
      <c r="V26" s="8" t="s">
        <v>514</v>
      </c>
      <c r="W26">
        <v>44</v>
      </c>
      <c r="X26" s="8" t="s">
        <v>514</v>
      </c>
      <c r="Y26">
        <v>57</v>
      </c>
      <c r="Z26" s="8" t="s">
        <v>514</v>
      </c>
      <c r="AA26">
        <v>35</v>
      </c>
    </row>
    <row r="27" spans="4:27" x14ac:dyDescent="0.3">
      <c r="D27" s="1" t="s">
        <v>81</v>
      </c>
      <c r="E27" t="s">
        <v>82</v>
      </c>
      <c r="F27" t="s">
        <v>83</v>
      </c>
      <c r="G27" t="s">
        <v>84</v>
      </c>
      <c r="H27">
        <v>1</v>
      </c>
      <c r="I27">
        <v>1</v>
      </c>
      <c r="J27">
        <v>1</v>
      </c>
      <c r="K27" t="str">
        <f>_xlfn.CONCAT(I27,"/",J27)</f>
        <v>1/1</v>
      </c>
      <c r="L27" t="s">
        <v>19</v>
      </c>
      <c r="M27" t="s">
        <v>25</v>
      </c>
      <c r="N27" s="8" t="str">
        <f t="shared" si="1"/>
        <v>V+N</v>
      </c>
      <c r="O27">
        <v>2</v>
      </c>
      <c r="R27" s="8" t="s">
        <v>85</v>
      </c>
      <c r="S27">
        <v>136</v>
      </c>
      <c r="V27" s="8" t="s">
        <v>515</v>
      </c>
      <c r="W27">
        <v>18</v>
      </c>
      <c r="X27" s="8" t="s">
        <v>515</v>
      </c>
      <c r="Y27">
        <v>9</v>
      </c>
      <c r="Z27" s="8" t="s">
        <v>515</v>
      </c>
      <c r="AA27">
        <v>10</v>
      </c>
    </row>
    <row r="28" spans="4:27" x14ac:dyDescent="0.3">
      <c r="E28" t="s">
        <v>86</v>
      </c>
      <c r="F28" t="s">
        <v>87</v>
      </c>
      <c r="G28" t="s">
        <v>88</v>
      </c>
      <c r="H28">
        <v>1</v>
      </c>
      <c r="I28">
        <v>1</v>
      </c>
      <c r="J28">
        <v>2</v>
      </c>
      <c r="K28" t="str">
        <f t="shared" si="0"/>
        <v>1/2</v>
      </c>
      <c r="L28" t="s">
        <v>59</v>
      </c>
      <c r="M28" t="s">
        <v>25</v>
      </c>
      <c r="N28" s="8" t="str">
        <f t="shared" si="1"/>
        <v>Adv+N</v>
      </c>
      <c r="O28">
        <v>2</v>
      </c>
      <c r="R28" s="8" t="s">
        <v>89</v>
      </c>
      <c r="S28">
        <v>37</v>
      </c>
      <c r="V28" s="8" t="s">
        <v>93</v>
      </c>
      <c r="W28">
        <v>10</v>
      </c>
      <c r="X28" s="8" t="s">
        <v>93</v>
      </c>
      <c r="Y28">
        <v>19</v>
      </c>
      <c r="Z28" s="8" t="s">
        <v>93</v>
      </c>
      <c r="AA28">
        <v>11</v>
      </c>
    </row>
    <row r="29" spans="4:27" x14ac:dyDescent="0.3">
      <c r="E29" t="s">
        <v>90</v>
      </c>
      <c r="F29" t="s">
        <v>91</v>
      </c>
      <c r="G29" t="s">
        <v>92</v>
      </c>
      <c r="H29">
        <v>2</v>
      </c>
      <c r="I29">
        <v>3</v>
      </c>
      <c r="J29">
        <v>3</v>
      </c>
      <c r="K29" t="str">
        <f t="shared" si="0"/>
        <v>3/3</v>
      </c>
      <c r="L29" t="s">
        <v>19</v>
      </c>
      <c r="M29" t="s">
        <v>19</v>
      </c>
      <c r="N29" s="8" t="str">
        <f t="shared" si="1"/>
        <v>V+V</v>
      </c>
      <c r="O29">
        <v>0</v>
      </c>
      <c r="R29" s="8" t="s">
        <v>93</v>
      </c>
      <c r="S29">
        <v>40</v>
      </c>
      <c r="V29" s="23" t="s">
        <v>516</v>
      </c>
      <c r="W29" s="22">
        <v>72</v>
      </c>
      <c r="X29" s="23" t="s">
        <v>516</v>
      </c>
      <c r="Y29" s="22">
        <v>85</v>
      </c>
      <c r="Z29" s="23" t="s">
        <v>516</v>
      </c>
      <c r="AA29" s="22">
        <v>56</v>
      </c>
    </row>
    <row r="30" spans="4:27" x14ac:dyDescent="0.3">
      <c r="E30" t="s">
        <v>91</v>
      </c>
      <c r="F30" t="s">
        <v>94</v>
      </c>
      <c r="G30" t="s">
        <v>92</v>
      </c>
      <c r="H30">
        <v>2</v>
      </c>
      <c r="I30">
        <v>3</v>
      </c>
      <c r="J30">
        <v>2</v>
      </c>
      <c r="K30" t="str">
        <f t="shared" si="0"/>
        <v>3/2</v>
      </c>
      <c r="L30" t="s">
        <v>19</v>
      </c>
      <c r="M30" t="s">
        <v>59</v>
      </c>
      <c r="N30" s="8" t="str">
        <f t="shared" si="1"/>
        <v>V+Adv</v>
      </c>
      <c r="O30">
        <v>2</v>
      </c>
      <c r="R30" s="12" t="s">
        <v>31</v>
      </c>
      <c r="S30" s="13">
        <v>213</v>
      </c>
    </row>
    <row r="31" spans="4:27" x14ac:dyDescent="0.3">
      <c r="E31" t="s">
        <v>95</v>
      </c>
      <c r="F31" t="s">
        <v>96</v>
      </c>
      <c r="G31" t="s">
        <v>97</v>
      </c>
      <c r="H31">
        <v>1</v>
      </c>
      <c r="I31">
        <v>1</v>
      </c>
      <c r="J31">
        <v>3</v>
      </c>
      <c r="K31" t="str">
        <f t="shared" si="0"/>
        <v>1/3</v>
      </c>
      <c r="L31" t="s">
        <v>19</v>
      </c>
      <c r="M31" t="s">
        <v>19</v>
      </c>
      <c r="N31" s="8" t="str">
        <f t="shared" si="1"/>
        <v>V+V</v>
      </c>
      <c r="O31">
        <v>0</v>
      </c>
      <c r="R31" s="8" t="s">
        <v>98</v>
      </c>
      <c r="V31" s="8" t="s">
        <v>98</v>
      </c>
      <c r="X31" s="8" t="s">
        <v>98</v>
      </c>
      <c r="Z31" s="8" t="s">
        <v>98</v>
      </c>
    </row>
    <row r="32" spans="4:27" x14ac:dyDescent="0.3">
      <c r="E32" t="s">
        <v>99</v>
      </c>
      <c r="F32" t="s">
        <v>100</v>
      </c>
      <c r="G32" t="s">
        <v>97</v>
      </c>
      <c r="H32">
        <v>1</v>
      </c>
      <c r="I32">
        <v>3</v>
      </c>
      <c r="J32">
        <v>1</v>
      </c>
      <c r="K32" t="str">
        <f t="shared" si="0"/>
        <v>3/1</v>
      </c>
      <c r="L32" t="s">
        <v>19</v>
      </c>
      <c r="M32" t="s">
        <v>59</v>
      </c>
      <c r="N32" s="8" t="str">
        <f t="shared" si="1"/>
        <v>V+Adv</v>
      </c>
      <c r="O32">
        <v>2</v>
      </c>
      <c r="R32" s="8" t="s">
        <v>25</v>
      </c>
      <c r="S32">
        <f>COUNTIF(L:M,"N")</f>
        <v>148</v>
      </c>
      <c r="T32" t="s">
        <v>175</v>
      </c>
      <c r="U32">
        <v>1</v>
      </c>
      <c r="V32" s="8" t="s">
        <v>25</v>
      </c>
      <c r="W32">
        <f>COUNTIF(L3:M84,"N")</f>
        <v>48</v>
      </c>
      <c r="X32" s="8" t="s">
        <v>25</v>
      </c>
      <c r="Y32">
        <f>COUNTIF(L86:M180,"n")</f>
        <v>65</v>
      </c>
      <c r="Z32" s="8" t="s">
        <v>25</v>
      </c>
      <c r="AA32">
        <f>COUNTIF(L182:M248,"N")</f>
        <v>35</v>
      </c>
    </row>
    <row r="33" spans="4:27" x14ac:dyDescent="0.3">
      <c r="E33" t="s">
        <v>90</v>
      </c>
      <c r="F33" t="s">
        <v>91</v>
      </c>
      <c r="G33" t="s">
        <v>92</v>
      </c>
      <c r="H33">
        <v>2</v>
      </c>
      <c r="I33">
        <v>3</v>
      </c>
      <c r="J33">
        <v>3</v>
      </c>
      <c r="K33" t="str">
        <f t="shared" si="0"/>
        <v>3/3</v>
      </c>
      <c r="L33" t="s">
        <v>19</v>
      </c>
      <c r="M33" t="s">
        <v>19</v>
      </c>
      <c r="N33" s="8" t="str">
        <f t="shared" si="1"/>
        <v>V+V</v>
      </c>
      <c r="O33">
        <v>0</v>
      </c>
      <c r="R33" s="8" t="s">
        <v>101</v>
      </c>
      <c r="S33">
        <f>COUNTIF(L:M,"Adj")</f>
        <v>22</v>
      </c>
      <c r="T33" t="s">
        <v>176</v>
      </c>
      <c r="U33">
        <v>2</v>
      </c>
      <c r="V33" s="8" t="s">
        <v>101</v>
      </c>
      <c r="W33">
        <f>COUNTIF(L3:M84,"Adj")</f>
        <v>7</v>
      </c>
      <c r="X33" s="8" t="s">
        <v>101</v>
      </c>
      <c r="Y33">
        <f>COUNTIF(L86:M180,"Adj")</f>
        <v>6</v>
      </c>
      <c r="Z33" s="8" t="s">
        <v>101</v>
      </c>
      <c r="AA33">
        <f>COUNTIF(L182:M248,"Adj")</f>
        <v>9</v>
      </c>
    </row>
    <row r="34" spans="4:27" x14ac:dyDescent="0.3">
      <c r="E34" t="s">
        <v>91</v>
      </c>
      <c r="F34" t="s">
        <v>102</v>
      </c>
      <c r="G34" t="s">
        <v>92</v>
      </c>
      <c r="H34">
        <v>2</v>
      </c>
      <c r="I34">
        <v>3</v>
      </c>
      <c r="J34">
        <v>3</v>
      </c>
      <c r="K34" t="str">
        <f t="shared" si="0"/>
        <v>3/3</v>
      </c>
      <c r="L34" t="s">
        <v>19</v>
      </c>
      <c r="M34" t="s">
        <v>59</v>
      </c>
      <c r="N34" s="8" t="str">
        <f t="shared" si="1"/>
        <v>V+Adv</v>
      </c>
      <c r="O34">
        <v>2</v>
      </c>
      <c r="R34" s="8" t="s">
        <v>103</v>
      </c>
      <c r="S34">
        <f>COUNTIF(L:M,"Pron")</f>
        <v>16</v>
      </c>
      <c r="T34" t="s">
        <v>423</v>
      </c>
      <c r="U34">
        <v>1</v>
      </c>
      <c r="V34" s="8" t="s">
        <v>103</v>
      </c>
      <c r="W34">
        <f>COUNTIF(L3:M84,"Pron")</f>
        <v>2</v>
      </c>
      <c r="X34" s="8" t="s">
        <v>103</v>
      </c>
      <c r="Y34">
        <f>COUNTIF(L86:M180,"Pron")</f>
        <v>7</v>
      </c>
      <c r="Z34" s="8" t="s">
        <v>103</v>
      </c>
      <c r="AA34">
        <f>COUNTIF(L182:M248,"Pron")</f>
        <v>7</v>
      </c>
    </row>
    <row r="35" spans="4:27" x14ac:dyDescent="0.3">
      <c r="E35" t="s">
        <v>90</v>
      </c>
      <c r="F35" t="s">
        <v>91</v>
      </c>
      <c r="G35" t="s">
        <v>92</v>
      </c>
      <c r="H35">
        <v>2</v>
      </c>
      <c r="I35">
        <v>3</v>
      </c>
      <c r="J35">
        <v>3</v>
      </c>
      <c r="K35" t="str">
        <f t="shared" si="0"/>
        <v>3/3</v>
      </c>
      <c r="L35" t="s">
        <v>19</v>
      </c>
      <c r="M35" t="s">
        <v>19</v>
      </c>
      <c r="N35" s="8" t="str">
        <f t="shared" si="1"/>
        <v>V+V</v>
      </c>
      <c r="O35">
        <v>0</v>
      </c>
      <c r="R35" s="8" t="s">
        <v>104</v>
      </c>
      <c r="S35">
        <f>COUNTIF(L:M,"Num")</f>
        <v>1</v>
      </c>
      <c r="V35" s="8" t="s">
        <v>19</v>
      </c>
      <c r="W35">
        <f>COUNTIF(L3:M84,"V")</f>
        <v>68</v>
      </c>
      <c r="X35" s="8" t="s">
        <v>104</v>
      </c>
      <c r="Y35">
        <f>COUNTIF(L86:M180,"Num")</f>
        <v>1</v>
      </c>
      <c r="Z35" s="8" t="s">
        <v>19</v>
      </c>
      <c r="AA35">
        <f>COUNTIF(L182:M248,"V")</f>
        <v>54</v>
      </c>
    </row>
    <row r="36" spans="4:27" x14ac:dyDescent="0.3">
      <c r="E36" t="s">
        <v>91</v>
      </c>
      <c r="F36" t="s">
        <v>94</v>
      </c>
      <c r="G36" t="s">
        <v>92</v>
      </c>
      <c r="H36">
        <v>2</v>
      </c>
      <c r="I36">
        <v>3</v>
      </c>
      <c r="J36">
        <v>2</v>
      </c>
      <c r="K36" t="str">
        <f t="shared" si="0"/>
        <v>3/2</v>
      </c>
      <c r="L36" t="s">
        <v>19</v>
      </c>
      <c r="M36" t="s">
        <v>59</v>
      </c>
      <c r="N36" s="8" t="str">
        <f t="shared" si="1"/>
        <v>V+Adv</v>
      </c>
      <c r="O36">
        <v>2</v>
      </c>
      <c r="R36" s="8" t="s">
        <v>19</v>
      </c>
      <c r="S36">
        <f>COUNTIF(L:M,"V")</f>
        <v>202</v>
      </c>
      <c r="V36" s="8" t="s">
        <v>59</v>
      </c>
      <c r="W36">
        <f>COUNTIF(L3:M84,"Adv")</f>
        <v>19</v>
      </c>
      <c r="X36" s="8" t="s">
        <v>19</v>
      </c>
      <c r="Y36">
        <f>COUNTIF(L86:M180,"V")</f>
        <v>80</v>
      </c>
      <c r="Z36" s="8" t="s">
        <v>59</v>
      </c>
      <c r="AA36">
        <f>COUNTIF(L182:M248,"Adv")</f>
        <v>3</v>
      </c>
    </row>
    <row r="37" spans="4:27" x14ac:dyDescent="0.3">
      <c r="R37" s="8" t="s">
        <v>59</v>
      </c>
      <c r="S37">
        <f>COUNTIF(L:M,"Adv")</f>
        <v>30</v>
      </c>
      <c r="V37" s="8"/>
      <c r="X37" s="8" t="s">
        <v>59</v>
      </c>
      <c r="Y37">
        <f>COUNTIF(L86:M180,"Adv")</f>
        <v>8</v>
      </c>
      <c r="Z37" t="s">
        <v>175</v>
      </c>
      <c r="AA37">
        <v>1</v>
      </c>
    </row>
    <row r="38" spans="4:27" x14ac:dyDescent="0.3">
      <c r="D38" s="1" t="s">
        <v>105</v>
      </c>
      <c r="E38" t="s">
        <v>106</v>
      </c>
      <c r="F38" t="s">
        <v>107</v>
      </c>
      <c r="G38" t="s">
        <v>108</v>
      </c>
      <c r="H38">
        <v>1</v>
      </c>
      <c r="I38">
        <v>1</v>
      </c>
      <c r="J38">
        <v>1</v>
      </c>
      <c r="K38" t="str">
        <f t="shared" si="0"/>
        <v>1/1</v>
      </c>
      <c r="L38" t="s">
        <v>19</v>
      </c>
      <c r="M38" t="s">
        <v>59</v>
      </c>
      <c r="N38" s="8" t="str">
        <f>_xlfn.CONCAT(L38,"+",M38)</f>
        <v>V+Adv</v>
      </c>
      <c r="O38">
        <v>2</v>
      </c>
      <c r="R38" s="8" t="s">
        <v>109</v>
      </c>
      <c r="S38">
        <f>COUNTIF(L:M,"Prep")</f>
        <v>0</v>
      </c>
      <c r="V38" s="8"/>
      <c r="X38" s="8" t="s">
        <v>111</v>
      </c>
      <c r="Y38">
        <f>COUNTIF(L86:M180,"Conj")</f>
        <v>1</v>
      </c>
      <c r="Z38" t="s">
        <v>176</v>
      </c>
      <c r="AA38">
        <v>2</v>
      </c>
    </row>
    <row r="39" spans="4:27" x14ac:dyDescent="0.3">
      <c r="D39" s="1"/>
      <c r="E39" t="s">
        <v>107</v>
      </c>
      <c r="F39" t="s">
        <v>110</v>
      </c>
      <c r="G39" t="s">
        <v>108</v>
      </c>
      <c r="H39">
        <v>1</v>
      </c>
      <c r="I39">
        <v>1</v>
      </c>
      <c r="J39">
        <v>1</v>
      </c>
      <c r="K39" t="str">
        <f t="shared" si="0"/>
        <v>1/1</v>
      </c>
      <c r="L39" t="s">
        <v>59</v>
      </c>
      <c r="M39" t="s">
        <v>25</v>
      </c>
      <c r="N39" s="8" t="str">
        <f>_xlfn.CONCAT(L39,"+",M39)</f>
        <v>Adv+N</v>
      </c>
      <c r="O39">
        <v>2</v>
      </c>
      <c r="R39" s="8" t="s">
        <v>111</v>
      </c>
      <c r="S39">
        <f>COUNTIF(L:M,"Conj")</f>
        <v>1</v>
      </c>
      <c r="V39" s="8"/>
      <c r="X39" s="10" t="s">
        <v>119</v>
      </c>
      <c r="Y39">
        <f>COUNTIF(L86:M180,"Interj")</f>
        <v>2</v>
      </c>
      <c r="Z39" t="s">
        <v>423</v>
      </c>
      <c r="AA39">
        <v>1</v>
      </c>
    </row>
    <row r="40" spans="4:27" x14ac:dyDescent="0.3">
      <c r="E40" t="s">
        <v>112</v>
      </c>
      <c r="F40" t="s">
        <v>113</v>
      </c>
      <c r="G40" t="s">
        <v>114</v>
      </c>
      <c r="H40">
        <v>1</v>
      </c>
      <c r="I40">
        <v>2</v>
      </c>
      <c r="J40">
        <v>2</v>
      </c>
      <c r="K40" t="str">
        <f t="shared" si="0"/>
        <v>2/2</v>
      </c>
      <c r="L40" t="s">
        <v>25</v>
      </c>
      <c r="M40" t="s">
        <v>59</v>
      </c>
      <c r="N40" s="8" t="str">
        <f t="shared" si="1"/>
        <v>N+Adv</v>
      </c>
      <c r="O40">
        <v>2</v>
      </c>
      <c r="R40" s="8" t="s">
        <v>115</v>
      </c>
      <c r="S40">
        <f>COUNTIF(L:M,"Part")</f>
        <v>0</v>
      </c>
      <c r="V40" s="10"/>
    </row>
    <row r="41" spans="4:27" x14ac:dyDescent="0.3">
      <c r="E41" t="s">
        <v>116</v>
      </c>
      <c r="F41" t="s">
        <v>117</v>
      </c>
      <c r="G41" t="s">
        <v>118</v>
      </c>
      <c r="H41">
        <v>2</v>
      </c>
      <c r="I41">
        <v>4</v>
      </c>
      <c r="J41">
        <v>3</v>
      </c>
      <c r="K41" t="str">
        <f t="shared" si="0"/>
        <v>4/3</v>
      </c>
      <c r="L41" t="s">
        <v>19</v>
      </c>
      <c r="M41" t="s">
        <v>19</v>
      </c>
      <c r="N41" s="8" t="str">
        <f t="shared" si="1"/>
        <v>V+V</v>
      </c>
      <c r="O41">
        <v>0</v>
      </c>
      <c r="R41" s="10" t="s">
        <v>119</v>
      </c>
      <c r="S41">
        <f>COUNTIF(L:M,"Interj")</f>
        <v>2</v>
      </c>
      <c r="T41" s="9"/>
    </row>
    <row r="42" spans="4:27" x14ac:dyDescent="0.3">
      <c r="E42" t="s">
        <v>106</v>
      </c>
      <c r="F42" t="s">
        <v>120</v>
      </c>
      <c r="G42" t="s">
        <v>118</v>
      </c>
      <c r="H42">
        <v>1</v>
      </c>
      <c r="I42">
        <v>1</v>
      </c>
      <c r="J42">
        <v>3</v>
      </c>
      <c r="K42" t="str">
        <f t="shared" si="0"/>
        <v>1/3</v>
      </c>
      <c r="L42" t="s">
        <v>19</v>
      </c>
      <c r="M42" t="s">
        <v>19</v>
      </c>
      <c r="N42" s="8" t="str">
        <f t="shared" si="1"/>
        <v>V+V</v>
      </c>
      <c r="O42">
        <v>0</v>
      </c>
      <c r="R42" s="14" t="s">
        <v>31</v>
      </c>
      <c r="S42" s="15">
        <f>SUM(S32:S41:U32:U34)</f>
        <v>426</v>
      </c>
    </row>
    <row r="43" spans="4:27" ht="0.6" customHeight="1" x14ac:dyDescent="0.3">
      <c r="E43" t="s">
        <v>120</v>
      </c>
      <c r="F43" t="s">
        <v>121</v>
      </c>
      <c r="G43" t="s">
        <v>108</v>
      </c>
      <c r="H43">
        <v>1</v>
      </c>
      <c r="I43">
        <v>3</v>
      </c>
      <c r="J43">
        <v>2</v>
      </c>
      <c r="K43" t="str">
        <f t="shared" si="0"/>
        <v>3/2</v>
      </c>
      <c r="L43" t="s">
        <v>19</v>
      </c>
      <c r="M43" t="s">
        <v>19</v>
      </c>
      <c r="N43" s="8" t="str">
        <f t="shared" si="1"/>
        <v>V+V</v>
      </c>
      <c r="O43">
        <v>0</v>
      </c>
    </row>
    <row r="44" spans="4:27" x14ac:dyDescent="0.3">
      <c r="E44" t="s">
        <v>112</v>
      </c>
      <c r="F44" t="s">
        <v>113</v>
      </c>
      <c r="G44" t="s">
        <v>114</v>
      </c>
      <c r="H44">
        <v>1</v>
      </c>
      <c r="I44">
        <v>2</v>
      </c>
      <c r="J44">
        <v>2</v>
      </c>
      <c r="K44" t="str">
        <f t="shared" si="0"/>
        <v>2/2</v>
      </c>
      <c r="L44" t="s">
        <v>25</v>
      </c>
      <c r="M44" t="s">
        <v>59</v>
      </c>
      <c r="N44" s="8" t="str">
        <f t="shared" si="1"/>
        <v>N+Adv</v>
      </c>
      <c r="O44">
        <v>2</v>
      </c>
      <c r="R44" s="8" t="s">
        <v>122</v>
      </c>
    </row>
    <row r="45" spans="4:27" x14ac:dyDescent="0.3">
      <c r="E45" t="s">
        <v>113</v>
      </c>
      <c r="F45" t="s">
        <v>112</v>
      </c>
      <c r="G45" t="s">
        <v>114</v>
      </c>
      <c r="H45">
        <v>1</v>
      </c>
      <c r="I45">
        <v>2</v>
      </c>
      <c r="J45">
        <v>2</v>
      </c>
      <c r="K45" t="str">
        <f t="shared" si="0"/>
        <v>2/2</v>
      </c>
      <c r="L45" t="s">
        <v>59</v>
      </c>
      <c r="M45" t="s">
        <v>25</v>
      </c>
      <c r="N45" s="8" t="str">
        <f t="shared" si="1"/>
        <v>Adv+N</v>
      </c>
      <c r="O45">
        <v>2</v>
      </c>
      <c r="R45" s="8" t="s">
        <v>123</v>
      </c>
      <c r="S45">
        <f>COUNTIF(N:N,"Adj+N")</f>
        <v>1</v>
      </c>
      <c r="V45" s="22" t="s">
        <v>516</v>
      </c>
      <c r="W45" s="22">
        <v>144</v>
      </c>
      <c r="X45" s="22" t="s">
        <v>516</v>
      </c>
      <c r="Y45" s="22">
        <v>170</v>
      </c>
      <c r="Z45" s="22" t="s">
        <v>516</v>
      </c>
      <c r="AA45" s="22">
        <v>112</v>
      </c>
    </row>
    <row r="46" spans="4:27" x14ac:dyDescent="0.3">
      <c r="E46" t="s">
        <v>112</v>
      </c>
      <c r="F46" t="s">
        <v>113</v>
      </c>
      <c r="G46" t="s">
        <v>114</v>
      </c>
      <c r="H46">
        <v>1</v>
      </c>
      <c r="I46">
        <v>2</v>
      </c>
      <c r="J46">
        <v>2</v>
      </c>
      <c r="K46" t="str">
        <f t="shared" si="0"/>
        <v>2/2</v>
      </c>
      <c r="L46" t="s">
        <v>25</v>
      </c>
      <c r="M46" t="s">
        <v>59</v>
      </c>
      <c r="N46" s="8" t="str">
        <f t="shared" si="1"/>
        <v>N+Adv</v>
      </c>
      <c r="O46">
        <v>2</v>
      </c>
      <c r="R46" s="8" t="s">
        <v>124</v>
      </c>
      <c r="S46">
        <f>COUNTIF(N:N,"Adj+V")</f>
        <v>6</v>
      </c>
      <c r="V46" t="s">
        <v>122</v>
      </c>
      <c r="X46" t="s">
        <v>122</v>
      </c>
      <c r="Z46" t="s">
        <v>122</v>
      </c>
    </row>
    <row r="47" spans="4:27" ht="15.6" x14ac:dyDescent="0.3">
      <c r="E47" t="s">
        <v>113</v>
      </c>
      <c r="F47" t="s">
        <v>112</v>
      </c>
      <c r="G47" t="s">
        <v>114</v>
      </c>
      <c r="H47">
        <v>1</v>
      </c>
      <c r="I47">
        <v>2</v>
      </c>
      <c r="J47">
        <v>2</v>
      </c>
      <c r="K47" t="str">
        <f t="shared" si="0"/>
        <v>2/2</v>
      </c>
      <c r="L47" t="s">
        <v>59</v>
      </c>
      <c r="M47" t="s">
        <v>25</v>
      </c>
      <c r="N47" s="8" t="str">
        <f t="shared" si="1"/>
        <v>Adv+N</v>
      </c>
      <c r="O47">
        <v>2</v>
      </c>
      <c r="R47" s="8" t="s">
        <v>125</v>
      </c>
      <c r="S47">
        <f>COUNTIF(N:N,"Adv+N")</f>
        <v>7</v>
      </c>
      <c r="V47" s="29" t="s">
        <v>123</v>
      </c>
      <c r="W47" s="30">
        <f>COUNTIF(N3:N84,"Adj+N")</f>
        <v>1</v>
      </c>
      <c r="X47" s="8" t="s">
        <v>124</v>
      </c>
      <c r="Y47">
        <f>COUNTIF(N86:N180,"Adj+V")</f>
        <v>3</v>
      </c>
      <c r="Z47" s="8" t="s">
        <v>124</v>
      </c>
      <c r="AA47">
        <v>3</v>
      </c>
    </row>
    <row r="48" spans="4:27" ht="15.6" x14ac:dyDescent="0.3">
      <c r="E48" t="s">
        <v>112</v>
      </c>
      <c r="F48" t="s">
        <v>113</v>
      </c>
      <c r="G48" t="s">
        <v>114</v>
      </c>
      <c r="H48">
        <v>1</v>
      </c>
      <c r="I48">
        <v>2</v>
      </c>
      <c r="J48">
        <v>2</v>
      </c>
      <c r="K48" t="str">
        <f t="shared" si="0"/>
        <v>2/2</v>
      </c>
      <c r="L48" t="s">
        <v>25</v>
      </c>
      <c r="M48" t="s">
        <v>59</v>
      </c>
      <c r="N48" s="8" t="str">
        <f t="shared" si="1"/>
        <v>N+Adv</v>
      </c>
      <c r="O48">
        <v>2</v>
      </c>
      <c r="R48" s="8" t="s">
        <v>126</v>
      </c>
      <c r="S48">
        <f>COUNTIF(N:N,"Adv+Pron")</f>
        <v>1</v>
      </c>
      <c r="V48" s="29" t="s">
        <v>125</v>
      </c>
      <c r="W48" s="30">
        <f>COUNTIF(N3:N84,"Adv+N")</f>
        <v>5</v>
      </c>
      <c r="X48" s="8" t="s">
        <v>125</v>
      </c>
      <c r="Y48">
        <f>COUNTIF(N86:N180,"Adv+N")</f>
        <v>2</v>
      </c>
      <c r="Z48" s="8" t="s">
        <v>133</v>
      </c>
      <c r="AA48">
        <v>1</v>
      </c>
    </row>
    <row r="49" spans="4:27" ht="15.6" x14ac:dyDescent="0.3">
      <c r="E49" t="s">
        <v>116</v>
      </c>
      <c r="F49" t="s">
        <v>117</v>
      </c>
      <c r="G49" t="s">
        <v>118</v>
      </c>
      <c r="H49">
        <v>2</v>
      </c>
      <c r="I49">
        <v>4</v>
      </c>
      <c r="J49">
        <v>3</v>
      </c>
      <c r="K49" t="str">
        <f t="shared" si="0"/>
        <v>4/3</v>
      </c>
      <c r="L49" t="s">
        <v>19</v>
      </c>
      <c r="M49" t="s">
        <v>19</v>
      </c>
      <c r="N49" s="8" t="str">
        <f t="shared" si="1"/>
        <v>V+V</v>
      </c>
      <c r="O49">
        <v>0</v>
      </c>
      <c r="R49" s="8" t="s">
        <v>127</v>
      </c>
      <c r="S49">
        <f>COUNTIF(N:N,"Adv+V")</f>
        <v>6</v>
      </c>
      <c r="V49" s="29" t="s">
        <v>127</v>
      </c>
      <c r="W49" s="30">
        <f>COUNTIF(N3:N84,"Adv+V")</f>
        <v>1</v>
      </c>
      <c r="X49" s="8" t="s">
        <v>126</v>
      </c>
      <c r="Y49">
        <f>COUNTIF(N86:N180,"Adv+Pron")</f>
        <v>1</v>
      </c>
      <c r="Z49" s="8" t="s">
        <v>135</v>
      </c>
      <c r="AA49">
        <v>10</v>
      </c>
    </row>
    <row r="50" spans="4:27" ht="15.6" x14ac:dyDescent="0.3">
      <c r="R50" s="8" t="s">
        <v>128</v>
      </c>
      <c r="S50">
        <f>COUNTIF(N:N,"Conj+V")</f>
        <v>1</v>
      </c>
      <c r="V50" s="29" t="s">
        <v>133</v>
      </c>
      <c r="W50" s="30">
        <f>COUNTIF(N3:N84,"N+Adv")</f>
        <v>5</v>
      </c>
      <c r="X50" s="8" t="s">
        <v>127</v>
      </c>
      <c r="Y50">
        <f>COUNTIF(N86:N180,"Adv+V")</f>
        <v>5</v>
      </c>
      <c r="Z50" s="8" t="s">
        <v>137</v>
      </c>
      <c r="AA50">
        <v>1</v>
      </c>
    </row>
    <row r="51" spans="4:27" ht="15.6" x14ac:dyDescent="0.3">
      <c r="D51" s="1" t="s">
        <v>129</v>
      </c>
      <c r="E51" t="s">
        <v>130</v>
      </c>
      <c r="F51" t="s">
        <v>131</v>
      </c>
      <c r="G51" t="s">
        <v>132</v>
      </c>
      <c r="H51">
        <v>2</v>
      </c>
      <c r="I51">
        <v>4</v>
      </c>
      <c r="J51">
        <v>4</v>
      </c>
      <c r="K51" t="str">
        <f t="shared" si="0"/>
        <v>4/4</v>
      </c>
      <c r="L51" t="s">
        <v>19</v>
      </c>
      <c r="M51" t="s">
        <v>19</v>
      </c>
      <c r="N51" s="8" t="str">
        <f t="shared" si="1"/>
        <v>V+V</v>
      </c>
      <c r="O51">
        <v>0</v>
      </c>
      <c r="R51" s="8" t="s">
        <v>133</v>
      </c>
      <c r="S51">
        <f>COUNTIF(N:N,"N+Adv")</f>
        <v>6</v>
      </c>
      <c r="V51" s="29" t="s">
        <v>135</v>
      </c>
      <c r="W51" s="30">
        <f>COUNTIF(N3:N84,"N+N")</f>
        <v>13</v>
      </c>
      <c r="X51" s="8" t="s">
        <v>128</v>
      </c>
      <c r="Y51">
        <f>COUNTIF(N86:N180,"Conj+V")</f>
        <v>1</v>
      </c>
      <c r="Z51" s="8" t="s">
        <v>138</v>
      </c>
      <c r="AA51">
        <v>6</v>
      </c>
    </row>
    <row r="52" spans="4:27" ht="15.6" x14ac:dyDescent="0.3">
      <c r="E52" t="s">
        <v>130</v>
      </c>
      <c r="F52" t="s">
        <v>134</v>
      </c>
      <c r="G52" t="s">
        <v>132</v>
      </c>
      <c r="H52">
        <v>2</v>
      </c>
      <c r="I52">
        <v>4</v>
      </c>
      <c r="J52">
        <v>4</v>
      </c>
      <c r="K52" t="str">
        <f t="shared" si="0"/>
        <v>4/4</v>
      </c>
      <c r="L52" t="s">
        <v>19</v>
      </c>
      <c r="M52" t="s">
        <v>19</v>
      </c>
      <c r="N52" s="8" t="str">
        <f t="shared" si="1"/>
        <v>V+V</v>
      </c>
      <c r="O52">
        <v>0</v>
      </c>
      <c r="R52" s="8" t="s">
        <v>135</v>
      </c>
      <c r="S52">
        <f>COUNTIF(N:N,"N+N")</f>
        <v>39</v>
      </c>
      <c r="V52" s="29" t="s">
        <v>138</v>
      </c>
      <c r="W52" s="30">
        <f>COUNTIF(N3:N84,"N+V")</f>
        <v>7</v>
      </c>
      <c r="X52" s="8" t="s">
        <v>135</v>
      </c>
      <c r="Y52">
        <f>COUNTIF(N86:N180,"N+N")</f>
        <v>16</v>
      </c>
      <c r="Z52" s="8" t="s">
        <v>147</v>
      </c>
      <c r="AA52">
        <v>2</v>
      </c>
    </row>
    <row r="53" spans="4:27" ht="15.6" x14ac:dyDescent="0.3">
      <c r="E53" t="s">
        <v>134</v>
      </c>
      <c r="F53" t="s">
        <v>136</v>
      </c>
      <c r="G53" t="s">
        <v>132</v>
      </c>
      <c r="H53">
        <v>2</v>
      </c>
      <c r="I53">
        <v>4</v>
      </c>
      <c r="J53">
        <v>4</v>
      </c>
      <c r="K53" t="str">
        <f t="shared" si="0"/>
        <v>4/4</v>
      </c>
      <c r="L53" t="s">
        <v>19</v>
      </c>
      <c r="M53" t="s">
        <v>19</v>
      </c>
      <c r="N53" s="8" t="str">
        <f t="shared" si="1"/>
        <v>V+V</v>
      </c>
      <c r="O53">
        <v>0</v>
      </c>
      <c r="R53" s="8" t="s">
        <v>137</v>
      </c>
      <c r="S53">
        <f>COUNTIF(N:N,"N+Pron")</f>
        <v>4</v>
      </c>
      <c r="V53" s="29" t="s">
        <v>147</v>
      </c>
      <c r="W53" s="30">
        <f>COUNTIF(N3:N84,"Pron+N")</f>
        <v>1</v>
      </c>
      <c r="X53" s="8" t="s">
        <v>137</v>
      </c>
      <c r="Y53">
        <f>COUNTIF(N86:N180,"N+Pron")</f>
        <v>3</v>
      </c>
      <c r="Z53" s="8" t="s">
        <v>151</v>
      </c>
      <c r="AA53">
        <v>1</v>
      </c>
    </row>
    <row r="54" spans="4:27" ht="15.6" x14ac:dyDescent="0.3">
      <c r="R54" s="8" t="s">
        <v>138</v>
      </c>
      <c r="S54">
        <f>COUNTIF(N:N,"N+V")</f>
        <v>28</v>
      </c>
      <c r="V54" s="29" t="s">
        <v>151</v>
      </c>
      <c r="W54" s="30">
        <f>COUNTIF(N3:N84,"Pron+V")</f>
        <v>1</v>
      </c>
      <c r="X54" s="8" t="s">
        <v>138</v>
      </c>
      <c r="Y54">
        <f>COUNTIF(N86:N180,"N+V")</f>
        <v>15</v>
      </c>
      <c r="Z54" s="8" t="s">
        <v>155</v>
      </c>
      <c r="AA54">
        <v>2</v>
      </c>
    </row>
    <row r="55" spans="4:27" ht="15.6" x14ac:dyDescent="0.3">
      <c r="D55" s="1" t="s">
        <v>139</v>
      </c>
      <c r="E55" t="s">
        <v>140</v>
      </c>
      <c r="F55" t="s">
        <v>141</v>
      </c>
      <c r="G55" t="s">
        <v>142</v>
      </c>
      <c r="H55">
        <v>2</v>
      </c>
      <c r="I55">
        <v>2</v>
      </c>
      <c r="J55">
        <v>3</v>
      </c>
      <c r="K55" t="str">
        <f t="shared" si="0"/>
        <v>2/3</v>
      </c>
      <c r="L55" t="s">
        <v>59</v>
      </c>
      <c r="M55" t="s">
        <v>59</v>
      </c>
      <c r="N55" s="8" t="str">
        <f t="shared" si="1"/>
        <v>Adv+Adv</v>
      </c>
      <c r="O55">
        <v>0</v>
      </c>
      <c r="R55" s="8" t="s">
        <v>143</v>
      </c>
      <c r="S55">
        <f>COUNTIF(N:N,"Num+V")</f>
        <v>1</v>
      </c>
      <c r="V55" s="29" t="s">
        <v>155</v>
      </c>
      <c r="W55" s="30">
        <f>COUNTIF(N3:N84,"V+Adv")</f>
        <v>6</v>
      </c>
      <c r="X55" s="8" t="s">
        <v>143</v>
      </c>
      <c r="Y55">
        <f>COUNTIF(N86:N180,"Num+V")</f>
        <v>1</v>
      </c>
      <c r="Z55" s="8" t="s">
        <v>156</v>
      </c>
      <c r="AA55">
        <v>2</v>
      </c>
    </row>
    <row r="56" spans="4:27" ht="15.6" x14ac:dyDescent="0.3">
      <c r="E56" t="s">
        <v>144</v>
      </c>
      <c r="F56" t="s">
        <v>145</v>
      </c>
      <c r="G56" t="s">
        <v>146</v>
      </c>
      <c r="H56">
        <v>2</v>
      </c>
      <c r="I56">
        <v>3</v>
      </c>
      <c r="J56">
        <v>2</v>
      </c>
      <c r="K56" t="str">
        <f t="shared" si="0"/>
        <v>3/2</v>
      </c>
      <c r="L56" t="s">
        <v>25</v>
      </c>
      <c r="M56" t="s">
        <v>25</v>
      </c>
      <c r="N56" s="8" t="str">
        <f t="shared" si="1"/>
        <v>N+N</v>
      </c>
      <c r="O56">
        <v>1</v>
      </c>
      <c r="R56" s="8" t="s">
        <v>147</v>
      </c>
      <c r="S56">
        <f>COUNTIF(N:N,"Pron+N")</f>
        <v>4</v>
      </c>
      <c r="V56" s="29" t="s">
        <v>167</v>
      </c>
      <c r="W56" s="30">
        <f>COUNTIF(N3:N84,"V+V")</f>
        <v>25</v>
      </c>
      <c r="X56" s="8" t="s">
        <v>147</v>
      </c>
      <c r="Y56">
        <f>COUNTIF(N86:N180,"Pron+N")</f>
        <v>1</v>
      </c>
      <c r="Z56" s="8" t="s">
        <v>157</v>
      </c>
      <c r="AA56">
        <v>1</v>
      </c>
    </row>
    <row r="57" spans="4:27" ht="15.6" x14ac:dyDescent="0.3">
      <c r="E57" t="s">
        <v>148</v>
      </c>
      <c r="F57" t="s">
        <v>149</v>
      </c>
      <c r="G57" t="s">
        <v>150</v>
      </c>
      <c r="H57">
        <v>2</v>
      </c>
      <c r="I57">
        <v>2</v>
      </c>
      <c r="J57">
        <v>2</v>
      </c>
      <c r="K57" t="str">
        <f t="shared" si="0"/>
        <v>2/2</v>
      </c>
      <c r="L57" t="s">
        <v>101</v>
      </c>
      <c r="M57" t="s">
        <v>101</v>
      </c>
      <c r="N57" s="8" t="str">
        <f t="shared" si="1"/>
        <v>Adj+Adj</v>
      </c>
      <c r="O57">
        <v>0</v>
      </c>
      <c r="R57" s="8" t="s">
        <v>151</v>
      </c>
      <c r="S57">
        <f>COUNTIF(N:N,"Pron+V")</f>
        <v>4</v>
      </c>
      <c r="V57" s="29" t="s">
        <v>171</v>
      </c>
      <c r="W57" s="30">
        <f>COUNTIF(N3:N84,"V+N")</f>
        <v>3</v>
      </c>
      <c r="X57" s="8" t="s">
        <v>151</v>
      </c>
      <c r="Y57">
        <f>COUNTIF(N86:N180,"Pron+V")</f>
        <v>2</v>
      </c>
      <c r="Z57" s="8" t="s">
        <v>158</v>
      </c>
      <c r="AA57">
        <v>1</v>
      </c>
    </row>
    <row r="58" spans="4:27" ht="15.6" x14ac:dyDescent="0.3">
      <c r="E58" t="s">
        <v>152</v>
      </c>
      <c r="F58" t="s">
        <v>153</v>
      </c>
      <c r="G58" t="s">
        <v>154</v>
      </c>
      <c r="H58">
        <v>3</v>
      </c>
      <c r="I58">
        <v>3</v>
      </c>
      <c r="J58">
        <v>3</v>
      </c>
      <c r="K58" t="str">
        <f t="shared" si="0"/>
        <v>3/3</v>
      </c>
      <c r="L58" t="s">
        <v>25</v>
      </c>
      <c r="M58" t="s">
        <v>25</v>
      </c>
      <c r="N58" s="8" t="str">
        <f t="shared" si="1"/>
        <v>N+N</v>
      </c>
      <c r="O58">
        <v>0</v>
      </c>
      <c r="R58" s="8" t="s">
        <v>155</v>
      </c>
      <c r="S58">
        <f>COUNTIF(N:N,"V+Adv")</f>
        <v>8</v>
      </c>
      <c r="V58" s="29" t="s">
        <v>179</v>
      </c>
      <c r="W58" s="30">
        <f>COUNTIF(N3:N84,"Adj+Adj")</f>
        <v>3</v>
      </c>
      <c r="X58" s="8" t="s">
        <v>156</v>
      </c>
      <c r="Y58">
        <f>COUNTIF(N86:N180,"V+Adj")</f>
        <v>3</v>
      </c>
      <c r="Z58" s="8" t="s">
        <v>167</v>
      </c>
      <c r="AA58">
        <v>16</v>
      </c>
    </row>
    <row r="59" spans="4:27" ht="15.6" x14ac:dyDescent="0.3">
      <c r="E59" t="s">
        <v>148</v>
      </c>
      <c r="F59" t="s">
        <v>149</v>
      </c>
      <c r="G59" t="s">
        <v>150</v>
      </c>
      <c r="H59">
        <v>2</v>
      </c>
      <c r="I59">
        <v>2</v>
      </c>
      <c r="J59">
        <v>2</v>
      </c>
      <c r="K59" t="str">
        <f t="shared" si="0"/>
        <v>2/2</v>
      </c>
      <c r="L59" t="s">
        <v>101</v>
      </c>
      <c r="M59" t="s">
        <v>101</v>
      </c>
      <c r="N59" s="8" t="str">
        <f t="shared" si="1"/>
        <v>Adj+Adj</v>
      </c>
      <c r="O59">
        <v>0</v>
      </c>
      <c r="R59" s="8" t="s">
        <v>156</v>
      </c>
      <c r="S59">
        <f>COUNTIF(N:N,"V+Adj")</f>
        <v>5</v>
      </c>
      <c r="V59" s="29" t="s">
        <v>181</v>
      </c>
      <c r="W59" s="30">
        <f>COUNTIF(N3:N84,"Adv+Adv")</f>
        <v>1</v>
      </c>
      <c r="X59" s="8" t="s">
        <v>163</v>
      </c>
      <c r="Y59">
        <f>COUNTIF(N86:N180,"V+Interj")</f>
        <v>2</v>
      </c>
      <c r="Z59" s="8" t="s">
        <v>171</v>
      </c>
      <c r="AA59">
        <v>4</v>
      </c>
    </row>
    <row r="60" spans="4:27" x14ac:dyDescent="0.3">
      <c r="E60" t="s">
        <v>148</v>
      </c>
      <c r="F60" t="s">
        <v>149</v>
      </c>
      <c r="G60" t="s">
        <v>150</v>
      </c>
      <c r="H60">
        <v>2</v>
      </c>
      <c r="I60">
        <v>2</v>
      </c>
      <c r="J60">
        <v>2</v>
      </c>
      <c r="K60" t="str">
        <f t="shared" si="0"/>
        <v>2/2</v>
      </c>
      <c r="L60" t="s">
        <v>101</v>
      </c>
      <c r="M60" t="s">
        <v>101</v>
      </c>
      <c r="N60" s="8" t="str">
        <f t="shared" si="1"/>
        <v>Adj+Adj</v>
      </c>
      <c r="O60">
        <v>0</v>
      </c>
      <c r="R60" s="8" t="s">
        <v>157</v>
      </c>
      <c r="S60">
        <f>COUNTIF(N:N,"V+Conj+Adj")</f>
        <v>1</v>
      </c>
      <c r="X60" s="8" t="s">
        <v>167</v>
      </c>
      <c r="Y60">
        <f>COUNTIF(N86:N180,"V+V")</f>
        <v>18</v>
      </c>
      <c r="Z60" t="s">
        <v>175</v>
      </c>
      <c r="AA60">
        <v>1</v>
      </c>
    </row>
    <row r="61" spans="4:27" x14ac:dyDescent="0.3">
      <c r="R61" s="8" t="s">
        <v>158</v>
      </c>
      <c r="S61">
        <f>COUNTIF(N:N,"Pron+Pron+N")</f>
        <v>1</v>
      </c>
      <c r="V61" s="8"/>
      <c r="X61" s="8" t="s">
        <v>171</v>
      </c>
      <c r="Y61">
        <f>COUNTIF(N86:N180,"V+N")</f>
        <v>12</v>
      </c>
      <c r="Z61" t="s">
        <v>176</v>
      </c>
      <c r="AA61">
        <v>2</v>
      </c>
    </row>
    <row r="62" spans="4:27" x14ac:dyDescent="0.3">
      <c r="D62" s="1" t="s">
        <v>159</v>
      </c>
      <c r="E62" t="s">
        <v>160</v>
      </c>
      <c r="F62" t="s">
        <v>161</v>
      </c>
      <c r="G62" t="s">
        <v>162</v>
      </c>
      <c r="H62">
        <v>1</v>
      </c>
      <c r="I62">
        <v>1</v>
      </c>
      <c r="J62">
        <v>1</v>
      </c>
      <c r="K62" t="str">
        <f t="shared" si="0"/>
        <v>1/1</v>
      </c>
      <c r="L62" t="s">
        <v>103</v>
      </c>
      <c r="M62" t="s">
        <v>25</v>
      </c>
      <c r="N62" s="8" t="str">
        <f t="shared" si="1"/>
        <v>Pron+N</v>
      </c>
      <c r="O62">
        <v>2</v>
      </c>
      <c r="R62" s="8" t="s">
        <v>163</v>
      </c>
      <c r="S62">
        <f>COUNTIF(N:N,"V+Interj")</f>
        <v>2</v>
      </c>
      <c r="V62" s="23" t="s">
        <v>516</v>
      </c>
      <c r="W62" s="22">
        <v>72</v>
      </c>
      <c r="X62" s="23" t="s">
        <v>516</v>
      </c>
      <c r="Y62" s="22">
        <f>SUM(Y47:Y61)</f>
        <v>85</v>
      </c>
      <c r="Z62" s="8" t="s">
        <v>179</v>
      </c>
      <c r="AA62">
        <v>1</v>
      </c>
    </row>
    <row r="63" spans="4:27" x14ac:dyDescent="0.3">
      <c r="E63" t="s">
        <v>164</v>
      </c>
      <c r="F63" t="s">
        <v>165</v>
      </c>
      <c r="G63" t="s">
        <v>166</v>
      </c>
      <c r="H63">
        <v>1</v>
      </c>
      <c r="I63">
        <v>1</v>
      </c>
      <c r="J63">
        <v>2</v>
      </c>
      <c r="K63" t="str">
        <f t="shared" ref="K63:K109" si="2">_xlfn.CONCAT(I63,"/",J63)</f>
        <v>1/2</v>
      </c>
      <c r="L63" t="s">
        <v>103</v>
      </c>
      <c r="M63" t="s">
        <v>19</v>
      </c>
      <c r="N63" s="8" t="str">
        <f t="shared" si="1"/>
        <v>Pron+V</v>
      </c>
      <c r="O63">
        <v>2</v>
      </c>
      <c r="R63" s="8" t="s">
        <v>167</v>
      </c>
      <c r="S63">
        <f>COUNTIF(N:N,"V+V")</f>
        <v>59</v>
      </c>
      <c r="V63" s="8" t="s">
        <v>12</v>
      </c>
      <c r="X63" s="8" t="s">
        <v>12</v>
      </c>
      <c r="Z63" t="s">
        <v>517</v>
      </c>
      <c r="AA63">
        <v>1</v>
      </c>
    </row>
    <row r="64" spans="4:27" x14ac:dyDescent="0.3">
      <c r="E64" t="s">
        <v>168</v>
      </c>
      <c r="F64" t="s">
        <v>169</v>
      </c>
      <c r="G64" t="s">
        <v>170</v>
      </c>
      <c r="H64">
        <v>1</v>
      </c>
      <c r="I64">
        <v>1</v>
      </c>
      <c r="J64">
        <v>3</v>
      </c>
      <c r="K64" t="str">
        <f t="shared" si="2"/>
        <v>1/3</v>
      </c>
      <c r="L64" t="s">
        <v>25</v>
      </c>
      <c r="M64" t="s">
        <v>25</v>
      </c>
      <c r="N64" s="8" t="str">
        <f t="shared" ref="N64:N109" si="3">_xlfn.CONCAT(L64,"+",M64)</f>
        <v>N+N</v>
      </c>
      <c r="O64">
        <v>1</v>
      </c>
      <c r="R64" s="8" t="s">
        <v>171</v>
      </c>
      <c r="S64">
        <f>COUNTIF(N:N,"V+N")</f>
        <v>19</v>
      </c>
      <c r="T64" s="9"/>
      <c r="V64">
        <v>0</v>
      </c>
      <c r="W64">
        <f>COUNTIF(O3:O84,"0")</f>
        <v>38</v>
      </c>
      <c r="X64">
        <v>0</v>
      </c>
      <c r="Y64">
        <f>COUNTIF(O86:O180,"0")</f>
        <v>25</v>
      </c>
      <c r="Z64" s="8" t="s">
        <v>187</v>
      </c>
      <c r="AA64">
        <v>1</v>
      </c>
    </row>
    <row r="65" spans="4:27" x14ac:dyDescent="0.3">
      <c r="E65" t="s">
        <v>172</v>
      </c>
      <c r="F65" t="s">
        <v>173</v>
      </c>
      <c r="G65" t="s">
        <v>174</v>
      </c>
      <c r="H65">
        <v>1</v>
      </c>
      <c r="I65">
        <v>1</v>
      </c>
      <c r="J65">
        <v>3</v>
      </c>
      <c r="K65" t="str">
        <f t="shared" si="2"/>
        <v>1/3</v>
      </c>
      <c r="L65" t="s">
        <v>25</v>
      </c>
      <c r="M65" t="s">
        <v>19</v>
      </c>
      <c r="N65" s="8" t="str">
        <f t="shared" si="3"/>
        <v>N+V</v>
      </c>
      <c r="O65">
        <v>2</v>
      </c>
      <c r="R65" t="s">
        <v>175</v>
      </c>
      <c r="S65">
        <v>1</v>
      </c>
      <c r="V65">
        <v>1</v>
      </c>
      <c r="W65">
        <f>COUNTIF(O3:O84,"1")</f>
        <v>4</v>
      </c>
      <c r="X65">
        <v>1</v>
      </c>
      <c r="Y65">
        <f>COUNTIF(O86:O180,"1")</f>
        <v>9</v>
      </c>
      <c r="Z65" s="23" t="s">
        <v>516</v>
      </c>
      <c r="AA65" s="22">
        <f>SUM(AA47:AA64)</f>
        <v>56</v>
      </c>
    </row>
    <row r="66" spans="4:27" x14ac:dyDescent="0.3">
      <c r="R66" t="s">
        <v>176</v>
      </c>
      <c r="S66">
        <v>2</v>
      </c>
      <c r="V66">
        <v>2</v>
      </c>
      <c r="W66">
        <f>COUNTIF(O3:O84,"2")</f>
        <v>30</v>
      </c>
      <c r="X66">
        <v>2</v>
      </c>
      <c r="Y66">
        <f>COUNTIF(O86:O180,"2")</f>
        <v>51</v>
      </c>
      <c r="Z66" s="8" t="s">
        <v>12</v>
      </c>
    </row>
    <row r="67" spans="4:27" x14ac:dyDescent="0.3">
      <c r="D67" s="1" t="s">
        <v>177</v>
      </c>
      <c r="E67" t="s">
        <v>178</v>
      </c>
      <c r="F67" t="s">
        <v>56</v>
      </c>
      <c r="G67" t="s">
        <v>58</v>
      </c>
      <c r="H67">
        <v>1</v>
      </c>
      <c r="I67">
        <v>1</v>
      </c>
      <c r="J67">
        <v>1</v>
      </c>
      <c r="K67" t="str">
        <f t="shared" si="2"/>
        <v>1/1</v>
      </c>
      <c r="L67" t="s">
        <v>25</v>
      </c>
      <c r="M67" t="s">
        <v>19</v>
      </c>
      <c r="N67" s="8" t="str">
        <f t="shared" si="3"/>
        <v>N+V</v>
      </c>
      <c r="O67">
        <v>2</v>
      </c>
      <c r="R67" s="8" t="s">
        <v>179</v>
      </c>
      <c r="S67">
        <f>COUNTIF(N:N,"Adj+Adj")</f>
        <v>4</v>
      </c>
      <c r="V67" s="22" t="s">
        <v>513</v>
      </c>
      <c r="W67" s="22">
        <v>72</v>
      </c>
      <c r="X67" s="22" t="s">
        <v>513</v>
      </c>
      <c r="Y67" s="22">
        <v>85</v>
      </c>
      <c r="Z67">
        <v>0</v>
      </c>
      <c r="AA67">
        <f>COUNTIF(O182:O248,"0")</f>
        <v>24</v>
      </c>
    </row>
    <row r="68" spans="4:27" x14ac:dyDescent="0.3">
      <c r="E68" t="s">
        <v>180</v>
      </c>
      <c r="F68" t="s">
        <v>61</v>
      </c>
      <c r="G68" t="s">
        <v>58</v>
      </c>
      <c r="H68">
        <v>1</v>
      </c>
      <c r="I68">
        <v>1</v>
      </c>
      <c r="J68">
        <v>1</v>
      </c>
      <c r="K68" t="str">
        <f t="shared" si="2"/>
        <v>1/1</v>
      </c>
      <c r="L68" t="s">
        <v>25</v>
      </c>
      <c r="M68" t="s">
        <v>19</v>
      </c>
      <c r="N68" s="8" t="str">
        <f t="shared" si="3"/>
        <v>N+V</v>
      </c>
      <c r="O68">
        <v>2</v>
      </c>
      <c r="R68" s="8" t="s">
        <v>181</v>
      </c>
      <c r="S68">
        <f>COUNTIF(N:N,"Adv+Adv")</f>
        <v>1</v>
      </c>
      <c r="Z68">
        <v>1</v>
      </c>
      <c r="AA68">
        <f>COUNTIF(O182:O248,"1")</f>
        <v>3</v>
      </c>
    </row>
    <row r="69" spans="4:27" x14ac:dyDescent="0.3">
      <c r="R69" t="s">
        <v>182</v>
      </c>
      <c r="S69">
        <v>1</v>
      </c>
      <c r="Z69">
        <v>2</v>
      </c>
      <c r="AA69">
        <f>COUNTIF(O182:O248,"2")</f>
        <v>29</v>
      </c>
    </row>
    <row r="70" spans="4:27" x14ac:dyDescent="0.3">
      <c r="D70" s="1" t="s">
        <v>183</v>
      </c>
      <c r="E70" t="s">
        <v>184</v>
      </c>
      <c r="F70" t="s">
        <v>185</v>
      </c>
      <c r="G70" t="s">
        <v>186</v>
      </c>
      <c r="H70">
        <v>2</v>
      </c>
      <c r="I70">
        <v>2</v>
      </c>
      <c r="J70">
        <v>2</v>
      </c>
      <c r="K70" t="str">
        <f t="shared" si="2"/>
        <v>2/2</v>
      </c>
      <c r="L70" t="s">
        <v>19</v>
      </c>
      <c r="M70" t="s">
        <v>19</v>
      </c>
      <c r="N70" s="8" t="str">
        <f t="shared" si="3"/>
        <v>V+V</v>
      </c>
      <c r="O70">
        <v>0</v>
      </c>
      <c r="R70" s="8" t="s">
        <v>187</v>
      </c>
      <c r="S70">
        <f>COUNTIF(N:N,"Pron+Pron+Adj")</f>
        <v>1</v>
      </c>
      <c r="Z70" s="22" t="s">
        <v>513</v>
      </c>
      <c r="AA70" s="22">
        <v>56</v>
      </c>
    </row>
    <row r="71" spans="4:27" x14ac:dyDescent="0.3">
      <c r="E71" t="s">
        <v>188</v>
      </c>
      <c r="F71" t="s">
        <v>189</v>
      </c>
      <c r="G71" t="s">
        <v>190</v>
      </c>
      <c r="H71">
        <v>1</v>
      </c>
      <c r="I71">
        <v>2</v>
      </c>
      <c r="J71">
        <v>2</v>
      </c>
      <c r="K71" t="str">
        <f t="shared" si="2"/>
        <v>2/2</v>
      </c>
      <c r="L71" t="s">
        <v>25</v>
      </c>
      <c r="M71" t="s">
        <v>25</v>
      </c>
      <c r="N71" s="8" t="str">
        <f t="shared" si="3"/>
        <v>N+N</v>
      </c>
      <c r="O71">
        <v>0</v>
      </c>
      <c r="R71" s="14" t="s">
        <v>31</v>
      </c>
      <c r="S71" s="15">
        <f>SUM(S45:S70)</f>
        <v>213</v>
      </c>
    </row>
    <row r="72" spans="4:27" x14ac:dyDescent="0.3">
      <c r="E72" t="s">
        <v>191</v>
      </c>
      <c r="F72" t="s">
        <v>192</v>
      </c>
      <c r="G72" t="s">
        <v>193</v>
      </c>
      <c r="H72">
        <v>2</v>
      </c>
      <c r="I72">
        <v>3</v>
      </c>
      <c r="J72">
        <v>3</v>
      </c>
      <c r="K72" t="str">
        <f t="shared" si="2"/>
        <v>3/3</v>
      </c>
      <c r="L72" t="s">
        <v>19</v>
      </c>
      <c r="M72" t="s">
        <v>19</v>
      </c>
      <c r="N72" s="8" t="str">
        <f t="shared" si="3"/>
        <v>V+V</v>
      </c>
      <c r="O72">
        <v>0</v>
      </c>
    </row>
    <row r="73" spans="4:27" x14ac:dyDescent="0.3">
      <c r="E73" t="s">
        <v>194</v>
      </c>
      <c r="F73" t="s">
        <v>195</v>
      </c>
      <c r="G73" t="s">
        <v>196</v>
      </c>
      <c r="H73">
        <v>2</v>
      </c>
      <c r="I73">
        <v>2</v>
      </c>
      <c r="J73">
        <v>2</v>
      </c>
      <c r="K73" t="str">
        <f t="shared" si="2"/>
        <v>2/2</v>
      </c>
      <c r="L73" t="s">
        <v>25</v>
      </c>
      <c r="M73" t="s">
        <v>25</v>
      </c>
      <c r="N73" s="8" t="str">
        <f t="shared" si="3"/>
        <v>N+N</v>
      </c>
      <c r="O73">
        <v>1</v>
      </c>
    </row>
    <row r="74" spans="4:27" x14ac:dyDescent="0.3">
      <c r="E74" t="s">
        <v>197</v>
      </c>
      <c r="F74" t="s">
        <v>198</v>
      </c>
      <c r="G74" t="s">
        <v>84</v>
      </c>
      <c r="H74">
        <v>1</v>
      </c>
      <c r="I74">
        <v>1</v>
      </c>
      <c r="J74">
        <v>3</v>
      </c>
      <c r="K74" t="str">
        <f t="shared" si="2"/>
        <v>1/3</v>
      </c>
      <c r="L74" t="s">
        <v>19</v>
      </c>
      <c r="M74" t="s">
        <v>19</v>
      </c>
      <c r="N74" s="8" t="str">
        <f t="shared" si="3"/>
        <v>V+V</v>
      </c>
      <c r="O74">
        <v>0</v>
      </c>
      <c r="R74" s="8" t="s">
        <v>12</v>
      </c>
    </row>
    <row r="75" spans="4:27" x14ac:dyDescent="0.3">
      <c r="E75" t="s">
        <v>184</v>
      </c>
      <c r="F75" t="s">
        <v>199</v>
      </c>
      <c r="G75" t="s">
        <v>186</v>
      </c>
      <c r="H75">
        <v>2</v>
      </c>
      <c r="I75">
        <v>2</v>
      </c>
      <c r="J75">
        <v>2</v>
      </c>
      <c r="K75" t="str">
        <f t="shared" si="2"/>
        <v>2/2</v>
      </c>
      <c r="L75" t="s">
        <v>19</v>
      </c>
      <c r="M75" t="s">
        <v>19</v>
      </c>
      <c r="N75" s="8" t="str">
        <f t="shared" si="3"/>
        <v>V+V</v>
      </c>
      <c r="O75">
        <v>0</v>
      </c>
      <c r="R75" s="8" t="s">
        <v>200</v>
      </c>
      <c r="S75">
        <f>COUNTIF(O:O,"0")</f>
        <v>87</v>
      </c>
    </row>
    <row r="76" spans="4:27" x14ac:dyDescent="0.3">
      <c r="E76" t="s">
        <v>201</v>
      </c>
      <c r="F76" t="s">
        <v>202</v>
      </c>
      <c r="G76" t="s">
        <v>203</v>
      </c>
      <c r="H76">
        <v>1</v>
      </c>
      <c r="I76">
        <v>1</v>
      </c>
      <c r="J76">
        <v>1</v>
      </c>
      <c r="K76" t="str">
        <f t="shared" si="2"/>
        <v>1/1</v>
      </c>
      <c r="L76" t="s">
        <v>25</v>
      </c>
      <c r="M76" t="s">
        <v>25</v>
      </c>
      <c r="N76" s="8" t="str">
        <f t="shared" si="3"/>
        <v>N+N</v>
      </c>
      <c r="O76">
        <v>0</v>
      </c>
      <c r="R76" s="8" t="s">
        <v>204</v>
      </c>
      <c r="S76">
        <f>COUNTIF(O:O,"1")</f>
        <v>16</v>
      </c>
    </row>
    <row r="77" spans="4:27" x14ac:dyDescent="0.3">
      <c r="E77" t="s">
        <v>188</v>
      </c>
      <c r="F77" t="s">
        <v>189</v>
      </c>
      <c r="G77" t="s">
        <v>190</v>
      </c>
      <c r="H77">
        <v>1</v>
      </c>
      <c r="I77">
        <v>2</v>
      </c>
      <c r="J77">
        <v>2</v>
      </c>
      <c r="K77" t="str">
        <f t="shared" si="2"/>
        <v>2/2</v>
      </c>
      <c r="L77" t="s">
        <v>25</v>
      </c>
      <c r="M77" t="s">
        <v>25</v>
      </c>
      <c r="N77" s="8" t="str">
        <f t="shared" si="3"/>
        <v>N+N</v>
      </c>
      <c r="O77">
        <v>0</v>
      </c>
      <c r="R77" s="8" t="s">
        <v>205</v>
      </c>
      <c r="S77">
        <f>COUNTIF(O:O,"2")</f>
        <v>110</v>
      </c>
    </row>
    <row r="78" spans="4:27" x14ac:dyDescent="0.3">
      <c r="E78" t="s">
        <v>206</v>
      </c>
      <c r="F78" t="s">
        <v>192</v>
      </c>
      <c r="G78" t="s">
        <v>193</v>
      </c>
      <c r="H78">
        <v>2</v>
      </c>
      <c r="I78">
        <v>3</v>
      </c>
      <c r="J78">
        <v>3</v>
      </c>
      <c r="K78" t="str">
        <f t="shared" si="2"/>
        <v>3/3</v>
      </c>
      <c r="L78" t="s">
        <v>19</v>
      </c>
      <c r="M78" t="s">
        <v>19</v>
      </c>
      <c r="N78" s="8" t="str">
        <f t="shared" si="3"/>
        <v>V+V</v>
      </c>
      <c r="O78">
        <v>0</v>
      </c>
      <c r="R78" s="12" t="s">
        <v>207</v>
      </c>
      <c r="S78" s="13">
        <f>SUM(S75:S77)</f>
        <v>213</v>
      </c>
    </row>
    <row r="80" spans="4:27" x14ac:dyDescent="0.3">
      <c r="D80" s="1" t="s">
        <v>208</v>
      </c>
      <c r="E80" t="s">
        <v>209</v>
      </c>
      <c r="F80" t="s">
        <v>210</v>
      </c>
      <c r="G80" t="s">
        <v>211</v>
      </c>
      <c r="H80">
        <v>1</v>
      </c>
      <c r="I80">
        <v>1</v>
      </c>
      <c r="J80">
        <v>1</v>
      </c>
      <c r="K80" t="str">
        <f t="shared" si="2"/>
        <v>1/1</v>
      </c>
      <c r="L80" t="s">
        <v>19</v>
      </c>
      <c r="M80" t="s">
        <v>19</v>
      </c>
      <c r="N80" s="8" t="str">
        <f t="shared" si="3"/>
        <v>V+V</v>
      </c>
      <c r="O80">
        <v>0</v>
      </c>
    </row>
    <row r="81" spans="4:15" x14ac:dyDescent="0.3">
      <c r="E81" t="s">
        <v>212</v>
      </c>
      <c r="F81" t="s">
        <v>213</v>
      </c>
      <c r="G81" t="s">
        <v>214</v>
      </c>
      <c r="H81">
        <v>1</v>
      </c>
      <c r="I81">
        <v>2</v>
      </c>
      <c r="J81">
        <v>4</v>
      </c>
      <c r="K81" t="str">
        <f t="shared" si="2"/>
        <v>2/4</v>
      </c>
      <c r="L81" t="s">
        <v>25</v>
      </c>
      <c r="M81" t="s">
        <v>25</v>
      </c>
      <c r="N81" s="8" t="str">
        <f t="shared" si="3"/>
        <v>N+N</v>
      </c>
      <c r="O81">
        <v>0</v>
      </c>
    </row>
    <row r="82" spans="4:15" x14ac:dyDescent="0.3">
      <c r="E82" t="s">
        <v>215</v>
      </c>
      <c r="F82" t="s">
        <v>216</v>
      </c>
      <c r="G82" t="s">
        <v>214</v>
      </c>
      <c r="H82">
        <v>1</v>
      </c>
      <c r="I82">
        <v>4</v>
      </c>
      <c r="J82">
        <v>2</v>
      </c>
      <c r="K82" t="str">
        <f t="shared" si="2"/>
        <v>4/2</v>
      </c>
      <c r="L82" t="s">
        <v>101</v>
      </c>
      <c r="M82" t="s">
        <v>25</v>
      </c>
      <c r="N82" s="8" t="str">
        <f t="shared" si="3"/>
        <v>Adj+N</v>
      </c>
      <c r="O82">
        <v>2</v>
      </c>
    </row>
    <row r="84" spans="4:15" x14ac:dyDescent="0.3">
      <c r="D84" s="1" t="s">
        <v>217</v>
      </c>
      <c r="E84" t="s">
        <v>218</v>
      </c>
      <c r="F84" t="s">
        <v>219</v>
      </c>
      <c r="G84" t="s">
        <v>220</v>
      </c>
      <c r="H84">
        <v>1</v>
      </c>
      <c r="I84">
        <v>1</v>
      </c>
      <c r="J84">
        <v>1</v>
      </c>
      <c r="K84" t="str">
        <f t="shared" si="2"/>
        <v>1/1</v>
      </c>
      <c r="L84" t="s">
        <v>19</v>
      </c>
      <c r="M84" t="s">
        <v>19</v>
      </c>
      <c r="N84" s="8" t="str">
        <f t="shared" si="3"/>
        <v>V+V</v>
      </c>
      <c r="O84">
        <v>0</v>
      </c>
    </row>
    <row r="86" spans="4:15" x14ac:dyDescent="0.3">
      <c r="D86" s="4" t="s">
        <v>221</v>
      </c>
      <c r="E86" t="s">
        <v>222</v>
      </c>
      <c r="F86" t="s">
        <v>223</v>
      </c>
      <c r="G86" t="s">
        <v>224</v>
      </c>
      <c r="H86">
        <v>1</v>
      </c>
      <c r="I86">
        <v>1</v>
      </c>
      <c r="J86">
        <v>3</v>
      </c>
      <c r="K86" t="str">
        <f t="shared" si="2"/>
        <v>1/3</v>
      </c>
      <c r="L86" t="s">
        <v>103</v>
      </c>
      <c r="M86" t="s">
        <v>25</v>
      </c>
      <c r="N86" s="8" t="str">
        <f t="shared" si="3"/>
        <v>Pron+N</v>
      </c>
      <c r="O86">
        <v>2</v>
      </c>
    </row>
    <row r="87" spans="4:15" x14ac:dyDescent="0.3">
      <c r="E87" t="s">
        <v>223</v>
      </c>
      <c r="F87" t="s">
        <v>222</v>
      </c>
      <c r="G87" t="s">
        <v>224</v>
      </c>
      <c r="H87">
        <v>1</v>
      </c>
      <c r="I87">
        <v>3</v>
      </c>
      <c r="J87">
        <v>1</v>
      </c>
      <c r="K87" t="str">
        <f t="shared" si="2"/>
        <v>3/1</v>
      </c>
      <c r="L87" t="s">
        <v>25</v>
      </c>
      <c r="M87" t="s">
        <v>103</v>
      </c>
      <c r="N87" s="8" t="str">
        <f t="shared" si="3"/>
        <v>N+Pron</v>
      </c>
      <c r="O87">
        <v>2</v>
      </c>
    </row>
    <row r="88" spans="4:15" x14ac:dyDescent="0.3">
      <c r="E88" t="s">
        <v>225</v>
      </c>
      <c r="F88" t="s">
        <v>226</v>
      </c>
      <c r="G88" t="s">
        <v>227</v>
      </c>
      <c r="H88">
        <v>2</v>
      </c>
      <c r="I88">
        <v>4</v>
      </c>
      <c r="J88">
        <v>4</v>
      </c>
      <c r="K88" t="str">
        <f t="shared" si="2"/>
        <v>4/4</v>
      </c>
      <c r="L88" t="s">
        <v>25</v>
      </c>
      <c r="M88" t="s">
        <v>19</v>
      </c>
      <c r="N88" s="8" t="str">
        <f t="shared" si="3"/>
        <v>N+V</v>
      </c>
      <c r="O88">
        <v>2</v>
      </c>
    </row>
    <row r="89" spans="4:15" x14ac:dyDescent="0.3">
      <c r="E89" t="s">
        <v>228</v>
      </c>
      <c r="F89" t="s">
        <v>229</v>
      </c>
      <c r="G89" t="s">
        <v>230</v>
      </c>
      <c r="H89">
        <v>1</v>
      </c>
      <c r="I89">
        <v>3</v>
      </c>
      <c r="J89">
        <v>3</v>
      </c>
      <c r="K89" t="str">
        <f t="shared" si="2"/>
        <v>3/3</v>
      </c>
      <c r="L89" t="s">
        <v>101</v>
      </c>
      <c r="M89" t="s">
        <v>19</v>
      </c>
      <c r="N89" s="8" t="str">
        <f t="shared" si="3"/>
        <v>Adj+V</v>
      </c>
      <c r="O89">
        <v>2</v>
      </c>
    </row>
    <row r="90" spans="4:15" x14ac:dyDescent="0.3">
      <c r="E90" t="s">
        <v>231</v>
      </c>
      <c r="F90" t="s">
        <v>232</v>
      </c>
      <c r="G90" t="s">
        <v>233</v>
      </c>
      <c r="H90">
        <v>2</v>
      </c>
      <c r="I90">
        <v>2</v>
      </c>
      <c r="J90">
        <v>2</v>
      </c>
      <c r="K90" t="str">
        <f t="shared" si="2"/>
        <v>2/2</v>
      </c>
      <c r="L90" t="s">
        <v>19</v>
      </c>
      <c r="M90" t="s">
        <v>25</v>
      </c>
      <c r="N90" s="8" t="str">
        <f t="shared" si="3"/>
        <v>V+N</v>
      </c>
      <c r="O90">
        <v>2</v>
      </c>
    </row>
    <row r="91" spans="4:15" x14ac:dyDescent="0.3">
      <c r="E91" t="s">
        <v>234</v>
      </c>
      <c r="F91" t="s">
        <v>235</v>
      </c>
      <c r="G91" t="s">
        <v>236</v>
      </c>
      <c r="H91">
        <v>2</v>
      </c>
      <c r="I91">
        <v>3</v>
      </c>
      <c r="J91">
        <v>3</v>
      </c>
      <c r="K91" t="str">
        <f t="shared" si="2"/>
        <v>3/3</v>
      </c>
      <c r="L91" t="s">
        <v>25</v>
      </c>
      <c r="M91" t="s">
        <v>25</v>
      </c>
      <c r="N91" s="8" t="str">
        <f t="shared" si="3"/>
        <v>N+N</v>
      </c>
      <c r="O91">
        <v>1</v>
      </c>
    </row>
    <row r="92" spans="4:15" x14ac:dyDescent="0.3">
      <c r="E92" t="s">
        <v>235</v>
      </c>
      <c r="F92" t="s">
        <v>237</v>
      </c>
      <c r="G92" t="s">
        <v>236</v>
      </c>
      <c r="H92">
        <v>2</v>
      </c>
      <c r="I92">
        <v>3</v>
      </c>
      <c r="J92">
        <v>3</v>
      </c>
      <c r="K92" t="str">
        <f t="shared" si="2"/>
        <v>3/3</v>
      </c>
      <c r="L92" t="s">
        <v>25</v>
      </c>
      <c r="M92" t="s">
        <v>25</v>
      </c>
      <c r="N92" s="8" t="str">
        <f t="shared" si="3"/>
        <v>N+N</v>
      </c>
      <c r="O92">
        <v>1</v>
      </c>
    </row>
    <row r="93" spans="4:15" x14ac:dyDescent="0.3">
      <c r="E93" t="s">
        <v>225</v>
      </c>
      <c r="F93" t="s">
        <v>226</v>
      </c>
      <c r="G93" t="s">
        <v>227</v>
      </c>
      <c r="H93">
        <v>2</v>
      </c>
      <c r="I93">
        <v>4</v>
      </c>
      <c r="J93">
        <v>4</v>
      </c>
      <c r="K93" t="str">
        <f t="shared" si="2"/>
        <v>4/4</v>
      </c>
      <c r="L93" t="s">
        <v>25</v>
      </c>
      <c r="M93" t="s">
        <v>19</v>
      </c>
      <c r="N93" s="8" t="str">
        <f t="shared" si="3"/>
        <v>N+V</v>
      </c>
      <c r="O93">
        <v>2</v>
      </c>
    </row>
    <row r="94" spans="4:15" x14ac:dyDescent="0.3">
      <c r="E94" t="s">
        <v>228</v>
      </c>
      <c r="F94" t="s">
        <v>229</v>
      </c>
      <c r="G94" t="s">
        <v>230</v>
      </c>
      <c r="H94">
        <v>1</v>
      </c>
      <c r="I94">
        <v>3</v>
      </c>
      <c r="J94">
        <v>3</v>
      </c>
      <c r="K94" t="str">
        <f t="shared" si="2"/>
        <v>3/3</v>
      </c>
      <c r="L94" t="s">
        <v>101</v>
      </c>
      <c r="M94" t="s">
        <v>19</v>
      </c>
      <c r="N94" s="8" t="str">
        <f t="shared" si="3"/>
        <v>Adj+V</v>
      </c>
      <c r="O94">
        <v>2</v>
      </c>
    </row>
    <row r="95" spans="4:15" x14ac:dyDescent="0.3">
      <c r="E95" t="s">
        <v>231</v>
      </c>
      <c r="F95" t="s">
        <v>232</v>
      </c>
      <c r="G95" t="s">
        <v>233</v>
      </c>
      <c r="H95">
        <v>2</v>
      </c>
      <c r="I95">
        <v>2</v>
      </c>
      <c r="J95">
        <v>2</v>
      </c>
      <c r="K95" t="str">
        <f t="shared" si="2"/>
        <v>2/2</v>
      </c>
      <c r="L95" t="s">
        <v>19</v>
      </c>
      <c r="M95" t="s">
        <v>25</v>
      </c>
      <c r="N95" s="8" t="str">
        <f t="shared" si="3"/>
        <v>V+N</v>
      </c>
      <c r="O95">
        <v>2</v>
      </c>
    </row>
    <row r="96" spans="4:15" x14ac:dyDescent="0.3">
      <c r="E96" t="s">
        <v>238</v>
      </c>
      <c r="F96" t="s">
        <v>239</v>
      </c>
      <c r="G96" t="s">
        <v>58</v>
      </c>
      <c r="H96">
        <v>1</v>
      </c>
      <c r="I96">
        <v>2</v>
      </c>
      <c r="J96">
        <v>2</v>
      </c>
      <c r="K96" t="str">
        <f t="shared" si="2"/>
        <v>2/2</v>
      </c>
      <c r="L96" t="s">
        <v>25</v>
      </c>
      <c r="M96" t="s">
        <v>25</v>
      </c>
      <c r="N96" s="8" t="str">
        <f t="shared" si="3"/>
        <v>N+N</v>
      </c>
      <c r="O96">
        <v>0</v>
      </c>
    </row>
    <row r="97" spans="4:15" x14ac:dyDescent="0.3">
      <c r="E97" t="s">
        <v>228</v>
      </c>
      <c r="F97" t="s">
        <v>229</v>
      </c>
      <c r="G97" t="s">
        <v>230</v>
      </c>
      <c r="H97">
        <v>1</v>
      </c>
      <c r="I97">
        <v>3</v>
      </c>
      <c r="J97">
        <v>3</v>
      </c>
      <c r="K97" t="str">
        <f t="shared" si="2"/>
        <v>3/3</v>
      </c>
      <c r="L97" t="s">
        <v>101</v>
      </c>
      <c r="M97" t="s">
        <v>19</v>
      </c>
      <c r="N97" s="8" t="str">
        <f t="shared" si="3"/>
        <v>Adj+V</v>
      </c>
      <c r="O97">
        <v>2</v>
      </c>
    </row>
    <row r="98" spans="4:15" x14ac:dyDescent="0.3">
      <c r="E98" t="s">
        <v>231</v>
      </c>
      <c r="F98" t="s">
        <v>232</v>
      </c>
      <c r="G98" t="s">
        <v>233</v>
      </c>
      <c r="H98">
        <v>2</v>
      </c>
      <c r="I98">
        <v>2</v>
      </c>
      <c r="J98">
        <v>2</v>
      </c>
      <c r="K98" t="str">
        <f t="shared" si="2"/>
        <v>2/2</v>
      </c>
      <c r="L98" t="s">
        <v>19</v>
      </c>
      <c r="M98" t="s">
        <v>25</v>
      </c>
      <c r="N98" s="8" t="str">
        <f t="shared" si="3"/>
        <v>V+N</v>
      </c>
      <c r="O98">
        <v>2</v>
      </c>
    </row>
    <row r="100" spans="4:15" x14ac:dyDescent="0.3">
      <c r="D100" s="5" t="s">
        <v>240</v>
      </c>
      <c r="E100" t="s">
        <v>241</v>
      </c>
      <c r="F100" t="s">
        <v>242</v>
      </c>
      <c r="G100" t="s">
        <v>243</v>
      </c>
      <c r="H100">
        <v>2</v>
      </c>
      <c r="I100">
        <v>3</v>
      </c>
      <c r="J100">
        <v>2</v>
      </c>
      <c r="K100" t="str">
        <f t="shared" si="2"/>
        <v>3/2</v>
      </c>
      <c r="L100" t="s">
        <v>25</v>
      </c>
      <c r="M100" t="s">
        <v>25</v>
      </c>
      <c r="N100" s="8" t="str">
        <f t="shared" si="3"/>
        <v>N+N</v>
      </c>
      <c r="O100">
        <v>1</v>
      </c>
    </row>
    <row r="101" spans="4:15" x14ac:dyDescent="0.3">
      <c r="E101" t="s">
        <v>244</v>
      </c>
      <c r="F101" t="s">
        <v>245</v>
      </c>
      <c r="G101" t="s">
        <v>246</v>
      </c>
      <c r="H101">
        <v>2</v>
      </c>
      <c r="I101">
        <v>2</v>
      </c>
      <c r="J101">
        <v>2</v>
      </c>
      <c r="K101" t="str">
        <f t="shared" si="2"/>
        <v>2/2</v>
      </c>
      <c r="L101" t="s">
        <v>59</v>
      </c>
      <c r="M101" t="s">
        <v>25</v>
      </c>
      <c r="N101" s="8" t="str">
        <f t="shared" si="3"/>
        <v>Adv+N</v>
      </c>
      <c r="O101">
        <v>2</v>
      </c>
    </row>
    <row r="102" spans="4:15" x14ac:dyDescent="0.3">
      <c r="E102" t="s">
        <v>247</v>
      </c>
      <c r="F102" t="s">
        <v>248</v>
      </c>
      <c r="G102" t="s">
        <v>249</v>
      </c>
      <c r="H102">
        <v>2</v>
      </c>
      <c r="I102">
        <v>3</v>
      </c>
      <c r="J102">
        <v>3</v>
      </c>
      <c r="K102" t="str">
        <f t="shared" si="2"/>
        <v>3/3</v>
      </c>
      <c r="L102" t="s">
        <v>25</v>
      </c>
      <c r="M102" t="s">
        <v>25</v>
      </c>
      <c r="N102" s="8" t="str">
        <f t="shared" si="3"/>
        <v>N+N</v>
      </c>
      <c r="O102">
        <v>0</v>
      </c>
    </row>
    <row r="103" spans="4:15" x14ac:dyDescent="0.3">
      <c r="E103" t="s">
        <v>241</v>
      </c>
      <c r="F103" t="s">
        <v>242</v>
      </c>
      <c r="G103" t="s">
        <v>243</v>
      </c>
      <c r="H103">
        <v>2</v>
      </c>
      <c r="I103">
        <v>3</v>
      </c>
      <c r="J103">
        <v>2</v>
      </c>
      <c r="K103" t="str">
        <f t="shared" si="2"/>
        <v>3/2</v>
      </c>
      <c r="L103" t="s">
        <v>25</v>
      </c>
      <c r="M103" t="s">
        <v>25</v>
      </c>
      <c r="N103" s="8" t="str">
        <f t="shared" si="3"/>
        <v>N+N</v>
      </c>
      <c r="O103">
        <v>1</v>
      </c>
    </row>
    <row r="104" spans="4:15" x14ac:dyDescent="0.3">
      <c r="E104" t="s">
        <v>244</v>
      </c>
      <c r="F104" t="s">
        <v>245</v>
      </c>
      <c r="G104" t="s">
        <v>246</v>
      </c>
      <c r="H104">
        <v>2</v>
      </c>
      <c r="I104">
        <v>2</v>
      </c>
      <c r="J104">
        <v>2</v>
      </c>
      <c r="K104" t="str">
        <f t="shared" si="2"/>
        <v>2/2</v>
      </c>
      <c r="L104" t="s">
        <v>59</v>
      </c>
      <c r="M104" t="s">
        <v>25</v>
      </c>
      <c r="N104" s="8" t="str">
        <f t="shared" si="3"/>
        <v>Adv+N</v>
      </c>
      <c r="O104">
        <v>2</v>
      </c>
    </row>
    <row r="105" spans="4:15" x14ac:dyDescent="0.3">
      <c r="E105" t="s">
        <v>247</v>
      </c>
      <c r="F105" t="s">
        <v>248</v>
      </c>
      <c r="G105" t="s">
        <v>249</v>
      </c>
      <c r="H105">
        <v>2</v>
      </c>
      <c r="I105">
        <v>3</v>
      </c>
      <c r="J105">
        <v>3</v>
      </c>
      <c r="K105" t="str">
        <f t="shared" si="2"/>
        <v>3/3</v>
      </c>
      <c r="L105" t="s">
        <v>25</v>
      </c>
      <c r="M105" t="s">
        <v>25</v>
      </c>
      <c r="N105" s="8" t="str">
        <f t="shared" si="3"/>
        <v>N+N</v>
      </c>
      <c r="O105">
        <v>0</v>
      </c>
    </row>
    <row r="107" spans="4:15" x14ac:dyDescent="0.3">
      <c r="D107" s="5" t="s">
        <v>250</v>
      </c>
      <c r="E107" t="s">
        <v>251</v>
      </c>
      <c r="F107" t="s">
        <v>252</v>
      </c>
      <c r="G107" t="s">
        <v>253</v>
      </c>
      <c r="H107">
        <v>2</v>
      </c>
      <c r="I107">
        <v>2</v>
      </c>
      <c r="J107">
        <v>2</v>
      </c>
      <c r="K107" t="str">
        <f t="shared" si="2"/>
        <v>2/2</v>
      </c>
      <c r="L107" t="s">
        <v>25</v>
      </c>
      <c r="M107" t="s">
        <v>25</v>
      </c>
      <c r="N107" s="8" t="str">
        <f t="shared" si="3"/>
        <v>N+N</v>
      </c>
      <c r="O107">
        <v>0</v>
      </c>
    </row>
    <row r="108" spans="4:15" x14ac:dyDescent="0.3">
      <c r="E108" t="s">
        <v>254</v>
      </c>
      <c r="F108" t="s">
        <v>148</v>
      </c>
      <c r="G108" t="s">
        <v>150</v>
      </c>
      <c r="H108">
        <v>2</v>
      </c>
      <c r="I108">
        <v>2</v>
      </c>
      <c r="J108">
        <v>2</v>
      </c>
      <c r="K108" t="str">
        <f t="shared" si="2"/>
        <v>2/2</v>
      </c>
      <c r="L108" t="s">
        <v>19</v>
      </c>
      <c r="M108" t="s">
        <v>101</v>
      </c>
      <c r="N108" s="8" t="str">
        <f t="shared" si="3"/>
        <v>V+Adj</v>
      </c>
      <c r="O108">
        <v>2</v>
      </c>
    </row>
    <row r="109" spans="4:15" x14ac:dyDescent="0.3">
      <c r="E109" t="s">
        <v>255</v>
      </c>
      <c r="F109" t="s">
        <v>256</v>
      </c>
      <c r="G109" t="s">
        <v>257</v>
      </c>
      <c r="H109">
        <v>2</v>
      </c>
      <c r="I109">
        <v>3</v>
      </c>
      <c r="J109">
        <v>3</v>
      </c>
      <c r="K109" t="str">
        <f t="shared" si="2"/>
        <v>3/3</v>
      </c>
      <c r="L109" t="s">
        <v>19</v>
      </c>
      <c r="M109" t="s">
        <v>19</v>
      </c>
      <c r="N109" s="8" t="str">
        <f t="shared" si="3"/>
        <v>V+V</v>
      </c>
      <c r="O109">
        <v>0</v>
      </c>
    </row>
    <row r="110" spans="4:15" x14ac:dyDescent="0.3">
      <c r="D110" s="7"/>
      <c r="E110" t="s">
        <v>251</v>
      </c>
      <c r="F110" t="s">
        <v>252</v>
      </c>
      <c r="G110" t="s">
        <v>253</v>
      </c>
      <c r="H110">
        <v>2</v>
      </c>
      <c r="I110">
        <v>2</v>
      </c>
      <c r="J110">
        <v>2</v>
      </c>
      <c r="K110" t="str">
        <f t="shared" ref="K110:K111" si="4">_xlfn.CONCAT(I110,"/",J110)</f>
        <v>2/2</v>
      </c>
      <c r="L110" t="s">
        <v>25</v>
      </c>
      <c r="M110" t="s">
        <v>25</v>
      </c>
      <c r="N110" s="8" t="str">
        <f t="shared" ref="N110:N111" si="5">_xlfn.CONCAT(L110,"+",M110)</f>
        <v>N+N</v>
      </c>
      <c r="O110">
        <v>0</v>
      </c>
    </row>
    <row r="111" spans="4:15" x14ac:dyDescent="0.3">
      <c r="E111" t="s">
        <v>254</v>
      </c>
      <c r="F111" t="s">
        <v>148</v>
      </c>
      <c r="G111" t="s">
        <v>150</v>
      </c>
      <c r="H111">
        <v>2</v>
      </c>
      <c r="I111">
        <v>2</v>
      </c>
      <c r="J111">
        <v>2</v>
      </c>
      <c r="K111" t="str">
        <f t="shared" si="4"/>
        <v>2/2</v>
      </c>
      <c r="L111" t="s">
        <v>19</v>
      </c>
      <c r="M111" t="s">
        <v>101</v>
      </c>
      <c r="N111" s="8" t="str">
        <f t="shared" si="5"/>
        <v>V+Adj</v>
      </c>
      <c r="O111">
        <v>2</v>
      </c>
    </row>
    <row r="112" spans="4:15" x14ac:dyDescent="0.3">
      <c r="E112" t="s">
        <v>254</v>
      </c>
      <c r="F112" t="s">
        <v>148</v>
      </c>
      <c r="G112" t="s">
        <v>150</v>
      </c>
      <c r="H112">
        <v>2</v>
      </c>
      <c r="I112">
        <v>2</v>
      </c>
      <c r="J112">
        <v>2</v>
      </c>
      <c r="K112" t="str">
        <f t="shared" ref="K112" si="6">_xlfn.CONCAT(I112,"/",J112)</f>
        <v>2/2</v>
      </c>
      <c r="L112" t="s">
        <v>19</v>
      </c>
      <c r="M112" t="s">
        <v>101</v>
      </c>
      <c r="N112" s="8" t="str">
        <f t="shared" ref="N112" si="7">_xlfn.CONCAT(L112,"+",M112)</f>
        <v>V+Adj</v>
      </c>
      <c r="O112">
        <v>2</v>
      </c>
    </row>
    <row r="114" spans="4:15" x14ac:dyDescent="0.3">
      <c r="D114" s="5" t="s">
        <v>258</v>
      </c>
      <c r="E114" t="s">
        <v>259</v>
      </c>
      <c r="F114" t="s">
        <v>260</v>
      </c>
      <c r="G114" t="s">
        <v>261</v>
      </c>
      <c r="H114">
        <v>1</v>
      </c>
      <c r="I114">
        <v>1</v>
      </c>
      <c r="J114">
        <v>4</v>
      </c>
      <c r="K114" t="str">
        <f t="shared" ref="K114:K165" si="8">_xlfn.CONCAT(I114,"/",J114)</f>
        <v>1/4</v>
      </c>
      <c r="L114" t="s">
        <v>103</v>
      </c>
      <c r="M114" t="s">
        <v>19</v>
      </c>
      <c r="N114" s="8" t="str">
        <f t="shared" ref="N114:N165" si="9">_xlfn.CONCAT(L114,"+",M114)</f>
        <v>Pron+V</v>
      </c>
      <c r="O114">
        <v>2</v>
      </c>
    </row>
    <row r="115" spans="4:15" x14ac:dyDescent="0.3">
      <c r="E115" t="s">
        <v>262</v>
      </c>
      <c r="F115" t="s">
        <v>263</v>
      </c>
      <c r="G115" t="s">
        <v>264</v>
      </c>
      <c r="H115">
        <v>2</v>
      </c>
      <c r="I115">
        <v>2</v>
      </c>
      <c r="J115">
        <v>2</v>
      </c>
      <c r="K115" t="str">
        <f t="shared" si="8"/>
        <v>2/2</v>
      </c>
      <c r="L115" t="s">
        <v>19</v>
      </c>
      <c r="M115" t="s">
        <v>19</v>
      </c>
      <c r="N115" s="8" t="str">
        <f t="shared" si="9"/>
        <v>V+V</v>
      </c>
      <c r="O115">
        <v>0</v>
      </c>
    </row>
    <row r="116" spans="4:15" x14ac:dyDescent="0.3">
      <c r="E116" t="s">
        <v>265</v>
      </c>
      <c r="F116" t="s">
        <v>266</v>
      </c>
      <c r="G116" t="s">
        <v>68</v>
      </c>
      <c r="H116">
        <v>1</v>
      </c>
      <c r="I116">
        <v>1</v>
      </c>
      <c r="J116">
        <v>3</v>
      </c>
      <c r="K116" t="str">
        <f t="shared" si="8"/>
        <v>1/3</v>
      </c>
      <c r="L116" t="s">
        <v>25</v>
      </c>
      <c r="M116" t="s">
        <v>25</v>
      </c>
      <c r="N116" s="8" t="str">
        <f t="shared" si="9"/>
        <v>N+N</v>
      </c>
      <c r="O116">
        <v>1</v>
      </c>
    </row>
    <row r="117" spans="4:15" x14ac:dyDescent="0.3">
      <c r="E117" t="s">
        <v>267</v>
      </c>
      <c r="F117" t="s">
        <v>197</v>
      </c>
      <c r="G117" t="s">
        <v>84</v>
      </c>
      <c r="H117">
        <v>1</v>
      </c>
      <c r="I117">
        <v>1</v>
      </c>
      <c r="J117">
        <v>1</v>
      </c>
      <c r="K117" t="str">
        <f t="shared" si="8"/>
        <v>1/1</v>
      </c>
      <c r="L117" t="s">
        <v>25</v>
      </c>
      <c r="M117" t="s">
        <v>19</v>
      </c>
      <c r="N117" s="8" t="str">
        <f t="shared" si="9"/>
        <v>N+V</v>
      </c>
      <c r="O117">
        <v>2</v>
      </c>
    </row>
    <row r="119" spans="4:15" x14ac:dyDescent="0.3">
      <c r="D119" s="5" t="s">
        <v>268</v>
      </c>
      <c r="E119" t="s">
        <v>269</v>
      </c>
      <c r="F119" t="s">
        <v>270</v>
      </c>
      <c r="G119" t="s">
        <v>271</v>
      </c>
      <c r="H119">
        <v>1</v>
      </c>
      <c r="I119">
        <v>1</v>
      </c>
      <c r="J119">
        <v>1</v>
      </c>
      <c r="K119" t="str">
        <f t="shared" si="8"/>
        <v>1/1</v>
      </c>
      <c r="L119" t="s">
        <v>19</v>
      </c>
      <c r="M119" t="s">
        <v>25</v>
      </c>
      <c r="N119" s="8" t="str">
        <f t="shared" si="9"/>
        <v>V+N</v>
      </c>
      <c r="O119">
        <v>2</v>
      </c>
    </row>
    <row r="120" spans="4:15" x14ac:dyDescent="0.3">
      <c r="E120" t="s">
        <v>270</v>
      </c>
      <c r="F120" t="s">
        <v>272</v>
      </c>
      <c r="G120" t="s">
        <v>271</v>
      </c>
      <c r="H120">
        <v>1</v>
      </c>
      <c r="I120">
        <v>1</v>
      </c>
      <c r="J120">
        <v>1</v>
      </c>
      <c r="K120" t="str">
        <f t="shared" si="8"/>
        <v>1/1</v>
      </c>
      <c r="L120" t="s">
        <v>25</v>
      </c>
      <c r="M120" t="s">
        <v>19</v>
      </c>
      <c r="N120" s="8" t="str">
        <f t="shared" si="9"/>
        <v>N+V</v>
      </c>
      <c r="O120">
        <v>2</v>
      </c>
    </row>
    <row r="121" spans="4:15" x14ac:dyDescent="0.3">
      <c r="E121" t="s">
        <v>272</v>
      </c>
      <c r="F121" t="s">
        <v>273</v>
      </c>
      <c r="G121" t="s">
        <v>271</v>
      </c>
      <c r="H121">
        <v>1</v>
      </c>
      <c r="I121">
        <v>1</v>
      </c>
      <c r="J121">
        <v>1</v>
      </c>
      <c r="K121" t="str">
        <f t="shared" si="8"/>
        <v>1/1</v>
      </c>
      <c r="L121" t="s">
        <v>19</v>
      </c>
      <c r="M121" t="s">
        <v>25</v>
      </c>
      <c r="N121" s="8" t="str">
        <f t="shared" si="9"/>
        <v>V+N</v>
      </c>
      <c r="O121">
        <v>2</v>
      </c>
    </row>
    <row r="122" spans="4:15" x14ac:dyDescent="0.3">
      <c r="E122" t="s">
        <v>274</v>
      </c>
      <c r="F122" t="s">
        <v>275</v>
      </c>
      <c r="G122" t="s">
        <v>276</v>
      </c>
      <c r="H122">
        <v>2</v>
      </c>
      <c r="I122">
        <v>3</v>
      </c>
      <c r="J122">
        <v>2</v>
      </c>
      <c r="K122" t="str">
        <f t="shared" si="8"/>
        <v>3/2</v>
      </c>
      <c r="L122" t="s">
        <v>19</v>
      </c>
      <c r="M122" t="s">
        <v>25</v>
      </c>
      <c r="N122" s="8" t="str">
        <f t="shared" si="9"/>
        <v>V+N</v>
      </c>
      <c r="O122">
        <v>2</v>
      </c>
    </row>
    <row r="123" spans="4:15" x14ac:dyDescent="0.3">
      <c r="E123" t="s">
        <v>277</v>
      </c>
      <c r="F123" t="s">
        <v>278</v>
      </c>
      <c r="G123" t="s">
        <v>279</v>
      </c>
      <c r="H123">
        <v>2</v>
      </c>
      <c r="I123">
        <v>3</v>
      </c>
      <c r="J123">
        <v>3</v>
      </c>
      <c r="K123" t="str">
        <f t="shared" si="8"/>
        <v>3/3</v>
      </c>
      <c r="L123" t="s">
        <v>25</v>
      </c>
      <c r="M123" t="s">
        <v>19</v>
      </c>
      <c r="N123" s="8" t="str">
        <f t="shared" si="9"/>
        <v>N+V</v>
      </c>
      <c r="O123">
        <v>2</v>
      </c>
    </row>
    <row r="124" spans="4:15" x14ac:dyDescent="0.3">
      <c r="E124" t="s">
        <v>280</v>
      </c>
      <c r="F124" t="s">
        <v>281</v>
      </c>
      <c r="G124" t="s">
        <v>271</v>
      </c>
      <c r="H124">
        <v>1</v>
      </c>
      <c r="I124">
        <v>1</v>
      </c>
      <c r="J124">
        <v>1</v>
      </c>
      <c r="K124" t="str">
        <f t="shared" si="8"/>
        <v>1/1</v>
      </c>
      <c r="L124" t="s">
        <v>19</v>
      </c>
      <c r="M124" t="s">
        <v>25</v>
      </c>
      <c r="N124" s="8" t="str">
        <f t="shared" si="9"/>
        <v>V+N</v>
      </c>
      <c r="O124">
        <v>2</v>
      </c>
    </row>
    <row r="125" spans="4:15" x14ac:dyDescent="0.3">
      <c r="E125" t="s">
        <v>281</v>
      </c>
      <c r="F125" t="s">
        <v>282</v>
      </c>
      <c r="G125" t="s">
        <v>271</v>
      </c>
      <c r="H125">
        <v>1</v>
      </c>
      <c r="I125">
        <v>1</v>
      </c>
      <c r="J125">
        <v>1</v>
      </c>
      <c r="K125" t="str">
        <f t="shared" si="8"/>
        <v>1/1</v>
      </c>
      <c r="L125" t="s">
        <v>25</v>
      </c>
      <c r="M125" t="s">
        <v>25</v>
      </c>
      <c r="N125" s="8" t="str">
        <f t="shared" si="9"/>
        <v>N+N</v>
      </c>
      <c r="O125">
        <v>1</v>
      </c>
    </row>
    <row r="126" spans="4:15" x14ac:dyDescent="0.3">
      <c r="E126" t="s">
        <v>282</v>
      </c>
      <c r="F126" t="s">
        <v>283</v>
      </c>
      <c r="G126" t="s">
        <v>271</v>
      </c>
      <c r="H126">
        <v>1</v>
      </c>
      <c r="I126">
        <v>1</v>
      </c>
      <c r="J126">
        <v>1</v>
      </c>
      <c r="K126" t="str">
        <f t="shared" si="8"/>
        <v>1/1</v>
      </c>
      <c r="L126" t="s">
        <v>25</v>
      </c>
      <c r="M126" t="s">
        <v>19</v>
      </c>
      <c r="N126" s="8" t="str">
        <f t="shared" si="9"/>
        <v>N+V</v>
      </c>
      <c r="O126">
        <v>2</v>
      </c>
    </row>
    <row r="127" spans="4:15" x14ac:dyDescent="0.3">
      <c r="E127" t="s">
        <v>274</v>
      </c>
      <c r="F127" t="s">
        <v>275</v>
      </c>
      <c r="G127" t="s">
        <v>276</v>
      </c>
      <c r="H127">
        <v>2</v>
      </c>
      <c r="I127">
        <v>3</v>
      </c>
      <c r="J127">
        <v>2</v>
      </c>
      <c r="K127" t="str">
        <f t="shared" ref="K127:K128" si="10">_xlfn.CONCAT(I127,"/",J127)</f>
        <v>3/2</v>
      </c>
      <c r="L127" t="s">
        <v>19</v>
      </c>
      <c r="M127" t="s">
        <v>25</v>
      </c>
      <c r="N127" s="8" t="str">
        <f t="shared" ref="N127:N128" si="11">_xlfn.CONCAT(L127,"+",M127)</f>
        <v>V+N</v>
      </c>
      <c r="O127">
        <v>2</v>
      </c>
    </row>
    <row r="128" spans="4:15" x14ac:dyDescent="0.3">
      <c r="E128" t="s">
        <v>277</v>
      </c>
      <c r="F128" t="s">
        <v>278</v>
      </c>
      <c r="G128" t="s">
        <v>279</v>
      </c>
      <c r="H128">
        <v>2</v>
      </c>
      <c r="I128">
        <v>3</v>
      </c>
      <c r="J128">
        <v>3</v>
      </c>
      <c r="K128" t="str">
        <f t="shared" si="10"/>
        <v>3/3</v>
      </c>
      <c r="L128" t="s">
        <v>25</v>
      </c>
      <c r="M128" t="s">
        <v>19</v>
      </c>
      <c r="N128" s="8" t="str">
        <f t="shared" si="11"/>
        <v>N+V</v>
      </c>
      <c r="O128">
        <v>2</v>
      </c>
    </row>
    <row r="129" spans="4:15" x14ac:dyDescent="0.3">
      <c r="E129" t="s">
        <v>274</v>
      </c>
      <c r="F129" t="s">
        <v>275</v>
      </c>
      <c r="G129" t="s">
        <v>276</v>
      </c>
      <c r="H129">
        <v>2</v>
      </c>
      <c r="I129">
        <v>3</v>
      </c>
      <c r="J129">
        <v>2</v>
      </c>
      <c r="K129" t="str">
        <f t="shared" ref="K129:K130" si="12">_xlfn.CONCAT(I129,"/",J129)</f>
        <v>3/2</v>
      </c>
      <c r="L129" t="s">
        <v>19</v>
      </c>
      <c r="M129" t="s">
        <v>25</v>
      </c>
      <c r="N129" s="8" t="str">
        <f t="shared" ref="N129:N130" si="13">_xlfn.CONCAT(L129,"+",M129)</f>
        <v>V+N</v>
      </c>
      <c r="O129">
        <v>2</v>
      </c>
    </row>
    <row r="130" spans="4:15" x14ac:dyDescent="0.3">
      <c r="E130" t="s">
        <v>277</v>
      </c>
      <c r="F130" t="s">
        <v>278</v>
      </c>
      <c r="G130" t="s">
        <v>279</v>
      </c>
      <c r="H130">
        <v>2</v>
      </c>
      <c r="I130">
        <v>3</v>
      </c>
      <c r="J130">
        <v>3</v>
      </c>
      <c r="K130" t="str">
        <f t="shared" si="12"/>
        <v>3/3</v>
      </c>
      <c r="L130" t="s">
        <v>25</v>
      </c>
      <c r="M130" t="s">
        <v>19</v>
      </c>
      <c r="N130" s="8" t="str">
        <f t="shared" si="13"/>
        <v>N+V</v>
      </c>
      <c r="O130">
        <v>2</v>
      </c>
    </row>
    <row r="131" spans="4:15" x14ac:dyDescent="0.3">
      <c r="E131" t="s">
        <v>274</v>
      </c>
      <c r="F131" t="s">
        <v>275</v>
      </c>
      <c r="G131" t="s">
        <v>276</v>
      </c>
      <c r="H131">
        <v>2</v>
      </c>
      <c r="I131">
        <v>3</v>
      </c>
      <c r="J131">
        <v>2</v>
      </c>
      <c r="K131" t="str">
        <f t="shared" si="8"/>
        <v>3/2</v>
      </c>
      <c r="L131" t="s">
        <v>19</v>
      </c>
      <c r="M131" t="s">
        <v>25</v>
      </c>
      <c r="N131" s="8" t="str">
        <f t="shared" si="9"/>
        <v>V+N</v>
      </c>
      <c r="O131">
        <v>2</v>
      </c>
    </row>
    <row r="132" spans="4:15" x14ac:dyDescent="0.3">
      <c r="E132" t="s">
        <v>277</v>
      </c>
      <c r="F132" t="s">
        <v>278</v>
      </c>
      <c r="G132" t="s">
        <v>279</v>
      </c>
      <c r="H132">
        <v>2</v>
      </c>
      <c r="I132">
        <v>3</v>
      </c>
      <c r="J132">
        <v>3</v>
      </c>
      <c r="K132" t="str">
        <f t="shared" si="8"/>
        <v>3/3</v>
      </c>
      <c r="L132" t="s">
        <v>25</v>
      </c>
      <c r="M132" t="s">
        <v>19</v>
      </c>
      <c r="N132" s="8" t="str">
        <f t="shared" si="9"/>
        <v>N+V</v>
      </c>
      <c r="O132">
        <v>2</v>
      </c>
    </row>
    <row r="133" spans="4:15" x14ac:dyDescent="0.3">
      <c r="E133" t="s">
        <v>274</v>
      </c>
      <c r="F133" t="s">
        <v>275</v>
      </c>
      <c r="G133" t="s">
        <v>276</v>
      </c>
      <c r="H133">
        <v>2</v>
      </c>
      <c r="I133">
        <v>3</v>
      </c>
      <c r="J133">
        <v>2</v>
      </c>
      <c r="K133" t="str">
        <f t="shared" si="8"/>
        <v>3/2</v>
      </c>
      <c r="L133" t="s">
        <v>19</v>
      </c>
      <c r="M133" t="s">
        <v>25</v>
      </c>
      <c r="N133" s="8" t="str">
        <f t="shared" si="9"/>
        <v>V+N</v>
      </c>
      <c r="O133">
        <v>2</v>
      </c>
    </row>
    <row r="134" spans="4:15" x14ac:dyDescent="0.3">
      <c r="E134" t="s">
        <v>277</v>
      </c>
      <c r="F134" t="s">
        <v>278</v>
      </c>
      <c r="G134" t="s">
        <v>279</v>
      </c>
      <c r="H134">
        <v>2</v>
      </c>
      <c r="I134">
        <v>3</v>
      </c>
      <c r="J134">
        <v>3</v>
      </c>
      <c r="K134" t="str">
        <f t="shared" si="8"/>
        <v>3/3</v>
      </c>
      <c r="L134" t="s">
        <v>25</v>
      </c>
      <c r="M134" t="s">
        <v>19</v>
      </c>
      <c r="N134" s="8" t="str">
        <f t="shared" si="9"/>
        <v>N+V</v>
      </c>
      <c r="O134">
        <v>2</v>
      </c>
    </row>
    <row r="135" spans="4:15" x14ac:dyDescent="0.3">
      <c r="E135" t="s">
        <v>284</v>
      </c>
      <c r="F135" t="s">
        <v>285</v>
      </c>
      <c r="G135" t="s">
        <v>286</v>
      </c>
      <c r="H135">
        <v>1</v>
      </c>
      <c r="I135">
        <v>1</v>
      </c>
      <c r="J135">
        <v>3</v>
      </c>
      <c r="K135" t="str">
        <f t="shared" si="8"/>
        <v>1/3</v>
      </c>
      <c r="L135" t="s">
        <v>111</v>
      </c>
      <c r="M135" t="s">
        <v>19</v>
      </c>
      <c r="N135" s="8" t="str">
        <f t="shared" si="9"/>
        <v>Conj+V</v>
      </c>
      <c r="O135">
        <v>2</v>
      </c>
    </row>
    <row r="137" spans="4:15" x14ac:dyDescent="0.3">
      <c r="D137" s="5" t="s">
        <v>287</v>
      </c>
      <c r="E137" t="s">
        <v>287</v>
      </c>
      <c r="F137" t="s">
        <v>288</v>
      </c>
      <c r="G137" t="s">
        <v>227</v>
      </c>
      <c r="H137">
        <v>2</v>
      </c>
      <c r="I137">
        <v>3</v>
      </c>
      <c r="J137">
        <v>3</v>
      </c>
      <c r="K137" t="str">
        <f t="shared" si="8"/>
        <v>3/3</v>
      </c>
      <c r="L137" t="s">
        <v>25</v>
      </c>
      <c r="M137" t="s">
        <v>19</v>
      </c>
      <c r="N137" s="8" t="str">
        <f t="shared" si="9"/>
        <v>N+V</v>
      </c>
      <c r="O137">
        <v>2</v>
      </c>
    </row>
    <row r="138" spans="4:15" x14ac:dyDescent="0.3">
      <c r="E138" t="s">
        <v>289</v>
      </c>
      <c r="F138" t="s">
        <v>290</v>
      </c>
      <c r="G138" t="s">
        <v>291</v>
      </c>
      <c r="H138">
        <v>1</v>
      </c>
      <c r="I138">
        <v>1</v>
      </c>
      <c r="J138">
        <v>3</v>
      </c>
      <c r="K138" t="str">
        <f t="shared" si="8"/>
        <v>1/3</v>
      </c>
      <c r="L138" t="s">
        <v>59</v>
      </c>
      <c r="M138" t="s">
        <v>19</v>
      </c>
      <c r="N138" s="8" t="str">
        <f t="shared" si="9"/>
        <v>Adv+V</v>
      </c>
      <c r="O138">
        <v>2</v>
      </c>
    </row>
    <row r="139" spans="4:15" x14ac:dyDescent="0.3">
      <c r="E139" t="s">
        <v>292</v>
      </c>
      <c r="F139" t="s">
        <v>293</v>
      </c>
      <c r="G139" t="s">
        <v>294</v>
      </c>
      <c r="H139">
        <v>2</v>
      </c>
      <c r="I139">
        <v>2</v>
      </c>
      <c r="J139">
        <v>2</v>
      </c>
      <c r="K139" t="str">
        <f t="shared" si="8"/>
        <v>2/2</v>
      </c>
      <c r="L139" t="s">
        <v>25</v>
      </c>
      <c r="M139" t="s">
        <v>19</v>
      </c>
      <c r="N139" s="8" t="str">
        <f t="shared" si="9"/>
        <v>N+V</v>
      </c>
      <c r="O139">
        <v>2</v>
      </c>
    </row>
    <row r="140" spans="4:15" x14ac:dyDescent="0.3">
      <c r="E140" t="s">
        <v>287</v>
      </c>
      <c r="F140" t="s">
        <v>288</v>
      </c>
      <c r="G140" t="s">
        <v>227</v>
      </c>
      <c r="H140">
        <v>2</v>
      </c>
      <c r="I140">
        <v>3</v>
      </c>
      <c r="J140">
        <v>3</v>
      </c>
      <c r="K140" t="str">
        <f t="shared" si="8"/>
        <v>3/3</v>
      </c>
      <c r="L140" t="s">
        <v>25</v>
      </c>
      <c r="M140" t="s">
        <v>19</v>
      </c>
      <c r="N140" s="8" t="str">
        <f t="shared" si="9"/>
        <v>N+V</v>
      </c>
      <c r="O140">
        <v>2</v>
      </c>
    </row>
    <row r="142" spans="4:15" x14ac:dyDescent="0.3">
      <c r="D142" s="5" t="s">
        <v>295</v>
      </c>
      <c r="E142" t="s">
        <v>296</v>
      </c>
      <c r="F142" t="s">
        <v>297</v>
      </c>
      <c r="G142" t="s">
        <v>298</v>
      </c>
      <c r="H142">
        <v>2</v>
      </c>
      <c r="I142">
        <v>4</v>
      </c>
      <c r="J142">
        <v>3</v>
      </c>
      <c r="K142" t="str">
        <f t="shared" si="8"/>
        <v>4/3</v>
      </c>
      <c r="L142" t="s">
        <v>19</v>
      </c>
      <c r="M142" t="s">
        <v>19</v>
      </c>
      <c r="N142" s="8" t="str">
        <f t="shared" si="9"/>
        <v>V+V</v>
      </c>
      <c r="O142">
        <v>0</v>
      </c>
    </row>
    <row r="143" spans="4:15" x14ac:dyDescent="0.3">
      <c r="E143" t="s">
        <v>297</v>
      </c>
      <c r="F143" t="s">
        <v>299</v>
      </c>
      <c r="G143" t="s">
        <v>298</v>
      </c>
      <c r="H143">
        <v>2</v>
      </c>
      <c r="I143">
        <v>3</v>
      </c>
      <c r="J143">
        <v>3</v>
      </c>
      <c r="K143" t="str">
        <f t="shared" si="8"/>
        <v>3/3</v>
      </c>
      <c r="L143" t="s">
        <v>19</v>
      </c>
      <c r="M143" t="s">
        <v>19</v>
      </c>
      <c r="N143" s="8" t="str">
        <f t="shared" si="9"/>
        <v>V+V</v>
      </c>
      <c r="O143">
        <v>0</v>
      </c>
    </row>
    <row r="144" spans="4:15" x14ac:dyDescent="0.3">
      <c r="E144" t="s">
        <v>300</v>
      </c>
      <c r="F144" t="s">
        <v>301</v>
      </c>
      <c r="G144" t="s">
        <v>302</v>
      </c>
      <c r="H144">
        <v>1</v>
      </c>
      <c r="I144">
        <v>2</v>
      </c>
      <c r="J144">
        <v>2</v>
      </c>
      <c r="K144" t="str">
        <f t="shared" si="8"/>
        <v>2/2</v>
      </c>
      <c r="L144" t="s">
        <v>25</v>
      </c>
      <c r="M144" t="s">
        <v>25</v>
      </c>
      <c r="N144" s="8" t="str">
        <f t="shared" si="9"/>
        <v>N+N</v>
      </c>
      <c r="O144">
        <v>1</v>
      </c>
    </row>
    <row r="145" spans="4:15" x14ac:dyDescent="0.3">
      <c r="E145" t="s">
        <v>303</v>
      </c>
      <c r="F145" t="s">
        <v>304</v>
      </c>
      <c r="G145" t="s">
        <v>170</v>
      </c>
      <c r="H145">
        <v>1</v>
      </c>
      <c r="I145">
        <v>2</v>
      </c>
      <c r="J145">
        <v>2</v>
      </c>
      <c r="K145" t="str">
        <f t="shared" si="8"/>
        <v>2/2</v>
      </c>
      <c r="L145" t="s">
        <v>59</v>
      </c>
      <c r="M145" t="s">
        <v>19</v>
      </c>
      <c r="N145" s="8" t="str">
        <f t="shared" si="9"/>
        <v>Adv+V</v>
      </c>
      <c r="O145">
        <v>2</v>
      </c>
    </row>
    <row r="146" spans="4:15" x14ac:dyDescent="0.3">
      <c r="E146" t="s">
        <v>296</v>
      </c>
      <c r="F146" t="s">
        <v>297</v>
      </c>
      <c r="G146" t="s">
        <v>298</v>
      </c>
      <c r="H146">
        <v>2</v>
      </c>
      <c r="I146">
        <v>4</v>
      </c>
      <c r="J146">
        <v>3</v>
      </c>
      <c r="K146" t="str">
        <f t="shared" si="8"/>
        <v>4/3</v>
      </c>
      <c r="L146" t="s">
        <v>19</v>
      </c>
      <c r="M146" t="s">
        <v>19</v>
      </c>
      <c r="N146" s="8" t="str">
        <f t="shared" si="9"/>
        <v>V+V</v>
      </c>
      <c r="O146">
        <v>0</v>
      </c>
    </row>
    <row r="147" spans="4:15" x14ac:dyDescent="0.3">
      <c r="E147" t="s">
        <v>297</v>
      </c>
      <c r="F147" t="s">
        <v>299</v>
      </c>
      <c r="G147" t="s">
        <v>305</v>
      </c>
      <c r="H147">
        <v>1</v>
      </c>
      <c r="I147">
        <v>3</v>
      </c>
      <c r="J147">
        <v>3</v>
      </c>
      <c r="K147" t="str">
        <f t="shared" si="8"/>
        <v>3/3</v>
      </c>
      <c r="L147" t="s">
        <v>19</v>
      </c>
      <c r="M147" t="s">
        <v>19</v>
      </c>
      <c r="N147" s="8" t="str">
        <f t="shared" si="9"/>
        <v>V+V</v>
      </c>
      <c r="O147">
        <v>0</v>
      </c>
    </row>
    <row r="148" spans="4:15" x14ac:dyDescent="0.3">
      <c r="E148" t="s">
        <v>300</v>
      </c>
      <c r="F148" t="s">
        <v>301</v>
      </c>
      <c r="G148" t="s">
        <v>518</v>
      </c>
      <c r="H148">
        <v>2</v>
      </c>
      <c r="I148">
        <v>2</v>
      </c>
      <c r="J148">
        <v>2</v>
      </c>
      <c r="K148" t="str">
        <f t="shared" si="8"/>
        <v>2/2</v>
      </c>
      <c r="L148" t="s">
        <v>25</v>
      </c>
      <c r="M148" t="s">
        <v>25</v>
      </c>
      <c r="N148" s="8" t="str">
        <f t="shared" si="9"/>
        <v>N+N</v>
      </c>
      <c r="O148">
        <v>1</v>
      </c>
    </row>
    <row r="149" spans="4:15" x14ac:dyDescent="0.3">
      <c r="E149" t="s">
        <v>296</v>
      </c>
      <c r="F149" t="s">
        <v>297</v>
      </c>
      <c r="G149" t="s">
        <v>298</v>
      </c>
      <c r="H149">
        <v>2</v>
      </c>
      <c r="I149">
        <v>4</v>
      </c>
      <c r="J149">
        <v>3</v>
      </c>
      <c r="K149" t="str">
        <f t="shared" si="8"/>
        <v>4/3</v>
      </c>
      <c r="L149" t="s">
        <v>19</v>
      </c>
      <c r="M149" t="s">
        <v>19</v>
      </c>
      <c r="N149" s="8" t="str">
        <f t="shared" si="9"/>
        <v>V+V</v>
      </c>
      <c r="O149">
        <v>0</v>
      </c>
    </row>
    <row r="150" spans="4:15" x14ac:dyDescent="0.3">
      <c r="E150" t="s">
        <v>297</v>
      </c>
      <c r="F150" t="s">
        <v>299</v>
      </c>
      <c r="G150" t="s">
        <v>306</v>
      </c>
      <c r="H150">
        <v>1</v>
      </c>
      <c r="I150">
        <v>3</v>
      </c>
      <c r="J150">
        <v>3</v>
      </c>
      <c r="K150" t="str">
        <f t="shared" si="8"/>
        <v>3/3</v>
      </c>
      <c r="L150" t="s">
        <v>19</v>
      </c>
      <c r="M150" t="s">
        <v>19</v>
      </c>
      <c r="N150" s="8" t="str">
        <f t="shared" si="9"/>
        <v>V+V</v>
      </c>
      <c r="O150">
        <v>0</v>
      </c>
    </row>
    <row r="152" spans="4:15" x14ac:dyDescent="0.3">
      <c r="D152" s="5" t="s">
        <v>307</v>
      </c>
      <c r="E152" t="s">
        <v>289</v>
      </c>
      <c r="F152" t="s">
        <v>308</v>
      </c>
      <c r="G152" t="s">
        <v>309</v>
      </c>
      <c r="H152">
        <v>1</v>
      </c>
      <c r="I152">
        <v>1</v>
      </c>
      <c r="J152">
        <v>1</v>
      </c>
      <c r="K152" t="str">
        <f t="shared" si="8"/>
        <v>1/1</v>
      </c>
      <c r="L152" t="s">
        <v>59</v>
      </c>
      <c r="M152" t="s">
        <v>19</v>
      </c>
      <c r="N152" s="8" t="str">
        <f t="shared" si="9"/>
        <v>Adv+V</v>
      </c>
      <c r="O152">
        <v>2</v>
      </c>
    </row>
    <row r="153" spans="4:15" x14ac:dyDescent="0.3">
      <c r="E153" t="s">
        <v>310</v>
      </c>
      <c r="F153" t="s">
        <v>311</v>
      </c>
      <c r="G153" t="s">
        <v>34</v>
      </c>
      <c r="H153">
        <v>2</v>
      </c>
      <c r="I153">
        <v>4</v>
      </c>
      <c r="J153">
        <v>4</v>
      </c>
      <c r="K153" t="str">
        <f t="shared" si="8"/>
        <v>4/4</v>
      </c>
      <c r="L153" t="s">
        <v>19</v>
      </c>
      <c r="M153" t="s">
        <v>19</v>
      </c>
      <c r="N153" s="8" t="str">
        <f t="shared" si="9"/>
        <v>V+V</v>
      </c>
      <c r="O153">
        <v>0</v>
      </c>
    </row>
    <row r="154" spans="4:15" x14ac:dyDescent="0.3">
      <c r="E154" t="s">
        <v>312</v>
      </c>
      <c r="F154" t="s">
        <v>160</v>
      </c>
      <c r="G154" t="s">
        <v>162</v>
      </c>
      <c r="H154">
        <v>1</v>
      </c>
      <c r="I154">
        <v>2</v>
      </c>
      <c r="J154">
        <v>1</v>
      </c>
      <c r="K154" t="str">
        <f t="shared" si="8"/>
        <v>2/1</v>
      </c>
      <c r="L154" t="s">
        <v>25</v>
      </c>
      <c r="M154" t="s">
        <v>103</v>
      </c>
      <c r="N154" s="8" t="str">
        <f t="shared" si="9"/>
        <v>N+Pron</v>
      </c>
      <c r="O154">
        <v>2</v>
      </c>
    </row>
    <row r="155" spans="4:15" x14ac:dyDescent="0.3">
      <c r="E155" t="s">
        <v>289</v>
      </c>
      <c r="F155" t="s">
        <v>308</v>
      </c>
      <c r="G155" t="s">
        <v>309</v>
      </c>
      <c r="H155">
        <v>1</v>
      </c>
      <c r="I155">
        <v>1</v>
      </c>
      <c r="J155">
        <v>1</v>
      </c>
      <c r="K155" t="str">
        <f t="shared" si="8"/>
        <v>1/1</v>
      </c>
      <c r="L155" t="s">
        <v>59</v>
      </c>
      <c r="M155" t="s">
        <v>19</v>
      </c>
      <c r="N155" s="8" t="str">
        <f t="shared" si="9"/>
        <v>Adv+V</v>
      </c>
      <c r="O155">
        <v>2</v>
      </c>
    </row>
    <row r="156" spans="4:15" x14ac:dyDescent="0.3">
      <c r="E156" t="s">
        <v>313</v>
      </c>
      <c r="F156" t="s">
        <v>314</v>
      </c>
      <c r="G156" t="s">
        <v>315</v>
      </c>
      <c r="H156">
        <v>2</v>
      </c>
      <c r="I156">
        <v>4</v>
      </c>
      <c r="J156">
        <v>2</v>
      </c>
      <c r="K156" t="str">
        <f t="shared" si="8"/>
        <v>4/2</v>
      </c>
      <c r="L156" t="s">
        <v>19</v>
      </c>
      <c r="M156" t="s">
        <v>19</v>
      </c>
      <c r="N156" s="8" t="str">
        <f t="shared" si="9"/>
        <v>V+V</v>
      </c>
      <c r="O156">
        <v>0</v>
      </c>
    </row>
    <row r="157" spans="4:15" x14ac:dyDescent="0.3">
      <c r="E157" t="s">
        <v>316</v>
      </c>
      <c r="F157" t="s">
        <v>317</v>
      </c>
      <c r="G157" t="s">
        <v>318</v>
      </c>
      <c r="H157">
        <v>1</v>
      </c>
      <c r="I157">
        <v>1</v>
      </c>
      <c r="J157">
        <v>1</v>
      </c>
      <c r="K157" t="str">
        <f t="shared" si="8"/>
        <v>1/1</v>
      </c>
      <c r="L157" t="s">
        <v>19</v>
      </c>
      <c r="M157" t="s">
        <v>25</v>
      </c>
      <c r="N157" s="8" t="str">
        <f t="shared" si="9"/>
        <v>V+N</v>
      </c>
      <c r="O157">
        <v>2</v>
      </c>
    </row>
    <row r="158" spans="4:15" x14ac:dyDescent="0.3">
      <c r="E158" t="s">
        <v>289</v>
      </c>
      <c r="F158" t="s">
        <v>308</v>
      </c>
      <c r="G158" t="s">
        <v>309</v>
      </c>
      <c r="H158">
        <v>1</v>
      </c>
      <c r="I158">
        <v>1</v>
      </c>
      <c r="J158">
        <v>1</v>
      </c>
      <c r="K158" t="str">
        <f t="shared" si="8"/>
        <v>1/1</v>
      </c>
      <c r="L158" t="s">
        <v>59</v>
      </c>
      <c r="M158" t="s">
        <v>19</v>
      </c>
      <c r="N158" s="8" t="str">
        <f t="shared" si="9"/>
        <v>Adv+V</v>
      </c>
      <c r="O158">
        <v>2</v>
      </c>
    </row>
    <row r="160" spans="4:15" x14ac:dyDescent="0.3">
      <c r="D160" s="5" t="s">
        <v>319</v>
      </c>
      <c r="E160" t="s">
        <v>320</v>
      </c>
      <c r="F160" t="s">
        <v>321</v>
      </c>
      <c r="G160" t="s">
        <v>322</v>
      </c>
      <c r="H160">
        <v>2</v>
      </c>
      <c r="I160">
        <v>2</v>
      </c>
      <c r="J160">
        <v>2</v>
      </c>
      <c r="K160" t="str">
        <f t="shared" si="8"/>
        <v>2/2</v>
      </c>
      <c r="L160" t="s">
        <v>104</v>
      </c>
      <c r="M160" t="s">
        <v>19</v>
      </c>
      <c r="N160" s="8" t="str">
        <f>_xlfn.CONCAT(L160,"+",M160)</f>
        <v>Num+V</v>
      </c>
      <c r="O160">
        <v>2</v>
      </c>
    </row>
    <row r="161" spans="4:15" x14ac:dyDescent="0.3">
      <c r="E161" t="s">
        <v>321</v>
      </c>
      <c r="F161" t="s">
        <v>323</v>
      </c>
      <c r="G161" t="s">
        <v>224</v>
      </c>
      <c r="H161">
        <v>1</v>
      </c>
      <c r="I161">
        <v>2</v>
      </c>
      <c r="J161">
        <v>2</v>
      </c>
      <c r="K161" t="str">
        <f t="shared" si="8"/>
        <v>2/2</v>
      </c>
      <c r="L161" t="s">
        <v>19</v>
      </c>
      <c r="M161" t="s">
        <v>19</v>
      </c>
      <c r="N161" s="8" t="str">
        <f t="shared" si="9"/>
        <v>V+V</v>
      </c>
      <c r="O161">
        <v>0</v>
      </c>
    </row>
    <row r="162" spans="4:15" x14ac:dyDescent="0.3">
      <c r="E162" t="s">
        <v>324</v>
      </c>
      <c r="F162" t="s">
        <v>325</v>
      </c>
      <c r="G162" t="s">
        <v>326</v>
      </c>
      <c r="H162">
        <v>1</v>
      </c>
      <c r="I162">
        <v>1</v>
      </c>
      <c r="J162">
        <v>1</v>
      </c>
      <c r="K162" t="str">
        <f t="shared" si="8"/>
        <v>1/1</v>
      </c>
      <c r="L162" t="s">
        <v>25</v>
      </c>
      <c r="M162" t="s">
        <v>19</v>
      </c>
      <c r="N162" s="8" t="str">
        <f t="shared" si="9"/>
        <v>N+V</v>
      </c>
      <c r="O162">
        <v>2</v>
      </c>
    </row>
    <row r="163" spans="4:15" x14ac:dyDescent="0.3">
      <c r="E163" t="s">
        <v>327</v>
      </c>
      <c r="F163" t="s">
        <v>328</v>
      </c>
      <c r="G163" t="s">
        <v>329</v>
      </c>
      <c r="H163">
        <v>2</v>
      </c>
      <c r="I163">
        <v>2</v>
      </c>
      <c r="J163">
        <v>2</v>
      </c>
      <c r="K163" t="str">
        <f t="shared" si="8"/>
        <v>2/2</v>
      </c>
      <c r="L163" t="s">
        <v>25</v>
      </c>
      <c r="M163" t="s">
        <v>25</v>
      </c>
      <c r="N163" s="8" t="str">
        <f t="shared" si="9"/>
        <v>N+N</v>
      </c>
      <c r="O163">
        <v>0</v>
      </c>
    </row>
    <row r="164" spans="4:15" x14ac:dyDescent="0.3">
      <c r="E164" t="s">
        <v>330</v>
      </c>
      <c r="F164" t="s">
        <v>331</v>
      </c>
      <c r="G164" t="s">
        <v>332</v>
      </c>
      <c r="H164">
        <v>2</v>
      </c>
      <c r="I164">
        <v>3</v>
      </c>
      <c r="J164">
        <v>3</v>
      </c>
      <c r="K164" t="str">
        <f t="shared" si="8"/>
        <v>3/3</v>
      </c>
      <c r="L164" t="s">
        <v>19</v>
      </c>
      <c r="M164" t="s">
        <v>19</v>
      </c>
      <c r="N164" s="8" t="str">
        <f t="shared" si="9"/>
        <v>V+V</v>
      </c>
      <c r="O164">
        <v>0</v>
      </c>
    </row>
    <row r="165" spans="4:15" x14ac:dyDescent="0.3">
      <c r="E165" t="s">
        <v>333</v>
      </c>
      <c r="F165" t="s">
        <v>334</v>
      </c>
      <c r="G165" t="s">
        <v>335</v>
      </c>
      <c r="H165">
        <v>2</v>
      </c>
      <c r="I165">
        <v>2</v>
      </c>
      <c r="J165">
        <v>2</v>
      </c>
      <c r="K165" t="str">
        <f t="shared" si="8"/>
        <v>2/2</v>
      </c>
      <c r="L165" t="s">
        <v>19</v>
      </c>
      <c r="M165" t="s">
        <v>19</v>
      </c>
      <c r="N165" s="8" t="str">
        <f t="shared" si="9"/>
        <v>V+V</v>
      </c>
      <c r="O165">
        <v>0</v>
      </c>
    </row>
    <row r="166" spans="4:15" x14ac:dyDescent="0.3">
      <c r="E166" t="s">
        <v>324</v>
      </c>
      <c r="F166" t="s">
        <v>325</v>
      </c>
      <c r="G166" t="s">
        <v>326</v>
      </c>
      <c r="H166">
        <v>1</v>
      </c>
      <c r="I166">
        <v>1</v>
      </c>
      <c r="J166">
        <v>1</v>
      </c>
      <c r="K166" t="str">
        <f t="shared" ref="K166:K178" si="14">_xlfn.CONCAT(I166,"/",J166)</f>
        <v>1/1</v>
      </c>
      <c r="L166" t="s">
        <v>25</v>
      </c>
      <c r="M166" t="s">
        <v>19</v>
      </c>
      <c r="N166" s="8" t="str">
        <f t="shared" ref="N166:N178" si="15">_xlfn.CONCAT(L166,"+",M166)</f>
        <v>N+V</v>
      </c>
      <c r="O166">
        <v>2</v>
      </c>
    </row>
    <row r="168" spans="4:15" x14ac:dyDescent="0.3">
      <c r="D168" s="5" t="s">
        <v>336</v>
      </c>
      <c r="E168" t="s">
        <v>337</v>
      </c>
      <c r="F168" t="s">
        <v>338</v>
      </c>
      <c r="G168" t="s">
        <v>337</v>
      </c>
      <c r="H168">
        <v>1</v>
      </c>
      <c r="I168">
        <v>1</v>
      </c>
      <c r="J168">
        <v>3</v>
      </c>
      <c r="K168" t="str">
        <f t="shared" si="14"/>
        <v>1/3</v>
      </c>
      <c r="L168" t="s">
        <v>25</v>
      </c>
      <c r="M168" t="s">
        <v>25</v>
      </c>
      <c r="N168" s="8" t="str">
        <f t="shared" si="15"/>
        <v>N+N</v>
      </c>
      <c r="O168">
        <v>1</v>
      </c>
    </row>
    <row r="169" spans="4:15" x14ac:dyDescent="0.3">
      <c r="E169" t="s">
        <v>338</v>
      </c>
      <c r="F169" t="s">
        <v>339</v>
      </c>
      <c r="G169" t="s">
        <v>190</v>
      </c>
      <c r="H169">
        <v>1</v>
      </c>
      <c r="I169">
        <v>3</v>
      </c>
      <c r="J169">
        <v>2</v>
      </c>
      <c r="K169" t="str">
        <f t="shared" si="14"/>
        <v>3/2</v>
      </c>
      <c r="L169" t="s">
        <v>25</v>
      </c>
      <c r="M169" t="s">
        <v>25</v>
      </c>
      <c r="N169" s="8" t="str">
        <f t="shared" si="15"/>
        <v>N+N</v>
      </c>
      <c r="O169">
        <v>0</v>
      </c>
    </row>
    <row r="170" spans="4:15" x14ac:dyDescent="0.3">
      <c r="E170" t="s">
        <v>340</v>
      </c>
      <c r="F170" t="s">
        <v>341</v>
      </c>
      <c r="G170" t="s">
        <v>342</v>
      </c>
      <c r="H170">
        <v>1</v>
      </c>
      <c r="I170">
        <v>3</v>
      </c>
      <c r="J170">
        <v>1</v>
      </c>
      <c r="K170" t="str">
        <f t="shared" si="14"/>
        <v>3/1</v>
      </c>
      <c r="L170" t="s">
        <v>19</v>
      </c>
      <c r="M170" t="s">
        <v>19</v>
      </c>
      <c r="N170" s="8" t="str">
        <f t="shared" si="15"/>
        <v>V+V</v>
      </c>
      <c r="O170">
        <v>0</v>
      </c>
    </row>
    <row r="171" spans="4:15" x14ac:dyDescent="0.3">
      <c r="E171" t="s">
        <v>343</v>
      </c>
      <c r="F171" t="s">
        <v>344</v>
      </c>
      <c r="G171" t="s">
        <v>345</v>
      </c>
      <c r="H171">
        <v>1</v>
      </c>
      <c r="I171">
        <v>1</v>
      </c>
      <c r="J171">
        <v>1</v>
      </c>
      <c r="K171" t="str">
        <f t="shared" si="14"/>
        <v>1/1</v>
      </c>
      <c r="L171" t="s">
        <v>25</v>
      </c>
      <c r="M171" t="s">
        <v>103</v>
      </c>
      <c r="N171" s="8" t="str">
        <f t="shared" si="15"/>
        <v>N+Pron</v>
      </c>
      <c r="O171">
        <v>2</v>
      </c>
    </row>
    <row r="172" spans="4:15" x14ac:dyDescent="0.3">
      <c r="E172" t="s">
        <v>340</v>
      </c>
      <c r="F172" t="s">
        <v>341</v>
      </c>
      <c r="G172" t="s">
        <v>342</v>
      </c>
      <c r="H172">
        <v>1</v>
      </c>
      <c r="I172">
        <v>3</v>
      </c>
      <c r="J172">
        <v>1</v>
      </c>
      <c r="K172" t="str">
        <f t="shared" ref="K172" si="16">_xlfn.CONCAT(I172,"/",J172)</f>
        <v>3/1</v>
      </c>
      <c r="L172" t="s">
        <v>19</v>
      </c>
      <c r="M172" t="s">
        <v>19</v>
      </c>
      <c r="N172" s="8" t="str">
        <f t="shared" ref="N172" si="17">_xlfn.CONCAT(L172,"+",M172)</f>
        <v>V+V</v>
      </c>
      <c r="O172">
        <v>0</v>
      </c>
    </row>
    <row r="173" spans="4:15" x14ac:dyDescent="0.3">
      <c r="E173" t="s">
        <v>340</v>
      </c>
      <c r="F173" t="s">
        <v>341</v>
      </c>
      <c r="G173" t="s">
        <v>342</v>
      </c>
      <c r="H173">
        <v>1</v>
      </c>
      <c r="I173">
        <v>3</v>
      </c>
      <c r="J173">
        <v>1</v>
      </c>
      <c r="K173" t="str">
        <f t="shared" ref="K173" si="18">_xlfn.CONCAT(I173,"/",J173)</f>
        <v>3/1</v>
      </c>
      <c r="L173" t="s">
        <v>19</v>
      </c>
      <c r="M173" t="s">
        <v>19</v>
      </c>
      <c r="N173" s="8" t="str">
        <f t="shared" ref="N173" si="19">_xlfn.CONCAT(L173,"+",M173)</f>
        <v>V+V</v>
      </c>
      <c r="O173">
        <v>0</v>
      </c>
    </row>
    <row r="175" spans="4:15" x14ac:dyDescent="0.3">
      <c r="D175" s="5" t="s">
        <v>346</v>
      </c>
      <c r="E175" t="s">
        <v>347</v>
      </c>
      <c r="F175" t="s">
        <v>348</v>
      </c>
      <c r="G175" t="s">
        <v>58</v>
      </c>
      <c r="H175">
        <v>1</v>
      </c>
      <c r="I175">
        <v>1</v>
      </c>
      <c r="J175">
        <v>1</v>
      </c>
      <c r="K175" t="str">
        <f t="shared" si="14"/>
        <v>1/1</v>
      </c>
      <c r="L175" t="s">
        <v>59</v>
      </c>
      <c r="M175" t="s">
        <v>103</v>
      </c>
      <c r="N175" s="8" t="str">
        <f t="shared" si="15"/>
        <v>Adv+Pron</v>
      </c>
      <c r="O175">
        <v>2</v>
      </c>
    </row>
    <row r="176" spans="4:15" x14ac:dyDescent="0.3">
      <c r="E176" t="s">
        <v>348</v>
      </c>
      <c r="F176" t="s">
        <v>349</v>
      </c>
      <c r="G176" t="s">
        <v>58</v>
      </c>
      <c r="H176">
        <v>1</v>
      </c>
      <c r="I176">
        <v>1</v>
      </c>
      <c r="J176">
        <v>4</v>
      </c>
      <c r="K176" t="str">
        <f t="shared" si="14"/>
        <v>1/4</v>
      </c>
      <c r="L176" t="s">
        <v>103</v>
      </c>
      <c r="M176" t="s">
        <v>19</v>
      </c>
      <c r="N176" s="8" t="str">
        <f t="shared" si="15"/>
        <v>Pron+V</v>
      </c>
      <c r="O176">
        <v>2</v>
      </c>
    </row>
    <row r="177" spans="4:17" x14ac:dyDescent="0.3">
      <c r="E177" t="s">
        <v>56</v>
      </c>
      <c r="F177" t="s">
        <v>350</v>
      </c>
      <c r="G177" t="s">
        <v>58</v>
      </c>
      <c r="H177">
        <v>1</v>
      </c>
      <c r="I177">
        <v>1</v>
      </c>
      <c r="J177">
        <v>3</v>
      </c>
      <c r="K177" t="str">
        <f t="shared" si="14"/>
        <v>1/3</v>
      </c>
      <c r="L177" t="s">
        <v>19</v>
      </c>
      <c r="M177" t="s">
        <v>19</v>
      </c>
      <c r="N177" s="8" t="str">
        <f t="shared" si="15"/>
        <v>V+V</v>
      </c>
      <c r="O177">
        <v>0</v>
      </c>
    </row>
    <row r="178" spans="4:17" x14ac:dyDescent="0.3">
      <c r="E178" t="s">
        <v>350</v>
      </c>
      <c r="F178" t="s">
        <v>351</v>
      </c>
      <c r="G178" t="s">
        <v>58</v>
      </c>
      <c r="H178">
        <v>1</v>
      </c>
      <c r="I178">
        <v>3</v>
      </c>
      <c r="J178">
        <v>1</v>
      </c>
      <c r="K178" t="str">
        <f t="shared" si="14"/>
        <v>3/1</v>
      </c>
      <c r="L178" t="s">
        <v>19</v>
      </c>
      <c r="M178" t="s">
        <v>119</v>
      </c>
      <c r="N178" s="8" t="str">
        <f t="shared" si="15"/>
        <v>V+Interj</v>
      </c>
      <c r="O178">
        <v>2</v>
      </c>
    </row>
    <row r="179" spans="4:17" x14ac:dyDescent="0.3">
      <c r="E179" t="s">
        <v>56</v>
      </c>
      <c r="F179" t="s">
        <v>350</v>
      </c>
      <c r="G179" t="s">
        <v>58</v>
      </c>
      <c r="H179">
        <v>1</v>
      </c>
      <c r="I179">
        <v>1</v>
      </c>
      <c r="J179">
        <v>3</v>
      </c>
      <c r="K179" t="str">
        <f t="shared" ref="K179:K240" si="20">_xlfn.CONCAT(I179,"/",J179)</f>
        <v>1/3</v>
      </c>
      <c r="L179" t="s">
        <v>19</v>
      </c>
      <c r="M179" t="s">
        <v>19</v>
      </c>
      <c r="N179" s="8" t="str">
        <f t="shared" ref="N179:N248" si="21">_xlfn.CONCAT(L179,"+",M179)</f>
        <v>V+V</v>
      </c>
      <c r="O179">
        <v>0</v>
      </c>
    </row>
    <row r="180" spans="4:17" x14ac:dyDescent="0.3">
      <c r="E180" t="s">
        <v>350</v>
      </c>
      <c r="F180" t="s">
        <v>351</v>
      </c>
      <c r="G180" t="s">
        <v>58</v>
      </c>
      <c r="H180">
        <v>1</v>
      </c>
      <c r="I180">
        <v>3</v>
      </c>
      <c r="J180">
        <v>1</v>
      </c>
      <c r="K180" t="str">
        <f t="shared" si="20"/>
        <v>3/1</v>
      </c>
      <c r="L180" t="s">
        <v>19</v>
      </c>
      <c r="M180" t="s">
        <v>119</v>
      </c>
      <c r="N180" s="8" t="str">
        <f t="shared" si="21"/>
        <v>V+Interj</v>
      </c>
      <c r="O180">
        <v>2</v>
      </c>
    </row>
    <row r="182" spans="4:17" x14ac:dyDescent="0.3">
      <c r="D182" s="16" t="s">
        <v>352</v>
      </c>
      <c r="E182" t="s">
        <v>353</v>
      </c>
      <c r="F182" t="s">
        <v>354</v>
      </c>
      <c r="G182" t="s">
        <v>355</v>
      </c>
      <c r="H182">
        <v>1</v>
      </c>
      <c r="I182">
        <v>2</v>
      </c>
      <c r="J182">
        <v>2</v>
      </c>
      <c r="K182" t="str">
        <f t="shared" si="20"/>
        <v>2/2</v>
      </c>
      <c r="L182" t="s">
        <v>19</v>
      </c>
      <c r="M182" t="s">
        <v>59</v>
      </c>
      <c r="N182" s="8" t="str">
        <f t="shared" si="21"/>
        <v>V+Adv</v>
      </c>
      <c r="O182">
        <v>2</v>
      </c>
      <c r="Q182" t="s">
        <v>511</v>
      </c>
    </row>
    <row r="183" spans="4:17" x14ac:dyDescent="0.3">
      <c r="E183" t="s">
        <v>172</v>
      </c>
      <c r="F183" t="s">
        <v>356</v>
      </c>
      <c r="G183" t="s">
        <v>357</v>
      </c>
      <c r="H183">
        <v>1</v>
      </c>
      <c r="I183">
        <v>1</v>
      </c>
      <c r="J183">
        <v>1</v>
      </c>
      <c r="K183" t="str">
        <f t="shared" si="20"/>
        <v>1/1</v>
      </c>
      <c r="L183" t="s">
        <v>25</v>
      </c>
      <c r="M183" t="s">
        <v>25</v>
      </c>
      <c r="N183" s="8" t="str">
        <f t="shared" si="21"/>
        <v>N+N</v>
      </c>
      <c r="O183">
        <v>0</v>
      </c>
      <c r="Q183" t="s">
        <v>512</v>
      </c>
    </row>
    <row r="185" spans="4:17" x14ac:dyDescent="0.3">
      <c r="D185" s="16" t="s">
        <v>358</v>
      </c>
      <c r="E185" t="s">
        <v>359</v>
      </c>
      <c r="F185" t="s">
        <v>360</v>
      </c>
      <c r="G185" t="s">
        <v>361</v>
      </c>
      <c r="H185">
        <v>1</v>
      </c>
      <c r="I185">
        <v>4</v>
      </c>
      <c r="J185">
        <v>1</v>
      </c>
      <c r="K185" t="str">
        <f t="shared" si="20"/>
        <v>4/1</v>
      </c>
      <c r="L185" t="s">
        <v>19</v>
      </c>
      <c r="M185" t="s">
        <v>103</v>
      </c>
      <c r="N185" s="8" t="str">
        <f t="shared" si="21"/>
        <v>V+Pron</v>
      </c>
      <c r="O185">
        <v>2</v>
      </c>
      <c r="Q185" t="s">
        <v>512</v>
      </c>
    </row>
    <row r="186" spans="4:17" x14ac:dyDescent="0.3">
      <c r="E186" s="17" t="s">
        <v>362</v>
      </c>
      <c r="F186" t="s">
        <v>363</v>
      </c>
      <c r="G186" t="s">
        <v>364</v>
      </c>
      <c r="H186">
        <v>1</v>
      </c>
      <c r="I186">
        <v>2</v>
      </c>
      <c r="J186">
        <v>2</v>
      </c>
      <c r="K186" t="str">
        <f t="shared" si="20"/>
        <v>2/2</v>
      </c>
      <c r="L186" t="s">
        <v>25</v>
      </c>
      <c r="M186" t="s">
        <v>103</v>
      </c>
      <c r="N186" s="8" t="str">
        <f t="shared" si="21"/>
        <v>N+Pron</v>
      </c>
      <c r="O186">
        <v>2</v>
      </c>
      <c r="Q186" t="s">
        <v>511</v>
      </c>
    </row>
    <row r="187" spans="4:17" x14ac:dyDescent="0.3">
      <c r="E187" t="s">
        <v>365</v>
      </c>
      <c r="F187" t="s">
        <v>366</v>
      </c>
      <c r="G187" t="s">
        <v>261</v>
      </c>
      <c r="H187">
        <v>1</v>
      </c>
      <c r="I187">
        <v>1</v>
      </c>
      <c r="J187">
        <v>1</v>
      </c>
      <c r="K187" t="str">
        <f t="shared" si="20"/>
        <v>1/1</v>
      </c>
      <c r="L187" t="s">
        <v>19</v>
      </c>
      <c r="M187" t="s">
        <v>103</v>
      </c>
      <c r="N187" s="8" t="str">
        <f t="shared" si="21"/>
        <v>V+Pron</v>
      </c>
      <c r="O187">
        <v>2</v>
      </c>
      <c r="Q187" t="s">
        <v>512</v>
      </c>
    </row>
    <row r="188" spans="4:17" x14ac:dyDescent="0.3">
      <c r="E188" t="s">
        <v>367</v>
      </c>
      <c r="F188" t="s">
        <v>368</v>
      </c>
      <c r="G188" t="s">
        <v>355</v>
      </c>
      <c r="H188">
        <v>1</v>
      </c>
      <c r="I188">
        <v>1</v>
      </c>
      <c r="J188">
        <v>3</v>
      </c>
      <c r="K188" t="str">
        <f t="shared" si="20"/>
        <v>1/3</v>
      </c>
      <c r="L188" t="s">
        <v>103</v>
      </c>
      <c r="M188" t="s">
        <v>25</v>
      </c>
      <c r="N188" s="8" t="str">
        <f t="shared" si="21"/>
        <v>Pron+N</v>
      </c>
      <c r="O188">
        <v>2</v>
      </c>
      <c r="Q188" t="s">
        <v>511</v>
      </c>
    </row>
    <row r="189" spans="4:17" x14ac:dyDescent="0.3">
      <c r="E189" t="s">
        <v>369</v>
      </c>
      <c r="F189" t="s">
        <v>370</v>
      </c>
      <c r="G189" t="s">
        <v>371</v>
      </c>
      <c r="H189">
        <v>2</v>
      </c>
      <c r="I189">
        <v>2</v>
      </c>
      <c r="J189">
        <v>2</v>
      </c>
      <c r="K189" t="str">
        <f t="shared" si="20"/>
        <v>2/2</v>
      </c>
      <c r="L189" t="s">
        <v>19</v>
      </c>
      <c r="M189" t="s">
        <v>25</v>
      </c>
      <c r="N189" s="8" t="str">
        <f t="shared" si="21"/>
        <v>V+N</v>
      </c>
      <c r="O189">
        <v>2</v>
      </c>
      <c r="Q189" t="s">
        <v>511</v>
      </c>
    </row>
    <row r="190" spans="4:17" x14ac:dyDescent="0.3">
      <c r="N190" s="8" t="str">
        <f t="shared" si="21"/>
        <v>+</v>
      </c>
    </row>
    <row r="191" spans="4:17" x14ac:dyDescent="0.3">
      <c r="D191" s="16" t="s">
        <v>372</v>
      </c>
      <c r="E191" t="s">
        <v>56</v>
      </c>
      <c r="F191" t="s">
        <v>348</v>
      </c>
      <c r="G191" t="s">
        <v>58</v>
      </c>
      <c r="H191">
        <v>1</v>
      </c>
      <c r="I191">
        <v>1</v>
      </c>
      <c r="J191">
        <v>1</v>
      </c>
      <c r="K191" t="str">
        <f t="shared" si="20"/>
        <v>1/1</v>
      </c>
      <c r="L191" t="s">
        <v>19</v>
      </c>
      <c r="M191" t="s">
        <v>103</v>
      </c>
      <c r="N191" s="8" t="str">
        <f t="shared" si="21"/>
        <v>V+Pron</v>
      </c>
      <c r="O191">
        <v>2</v>
      </c>
      <c r="Q191" t="s">
        <v>512</v>
      </c>
    </row>
    <row r="192" spans="4:17" x14ac:dyDescent="0.3">
      <c r="E192" t="s">
        <v>348</v>
      </c>
      <c r="F192" t="s">
        <v>56</v>
      </c>
      <c r="G192" t="s">
        <v>58</v>
      </c>
      <c r="H192">
        <v>1</v>
      </c>
      <c r="I192">
        <v>1</v>
      </c>
      <c r="J192">
        <v>1</v>
      </c>
      <c r="K192" t="str">
        <f t="shared" si="20"/>
        <v>1/1</v>
      </c>
      <c r="L192" t="s">
        <v>103</v>
      </c>
      <c r="M192" t="s">
        <v>19</v>
      </c>
      <c r="N192" s="8" t="str">
        <f t="shared" si="21"/>
        <v>Pron+V</v>
      </c>
      <c r="O192">
        <v>2</v>
      </c>
      <c r="Q192" t="s">
        <v>512</v>
      </c>
    </row>
    <row r="194" spans="4:17" x14ac:dyDescent="0.3">
      <c r="D194" s="16" t="s">
        <v>373</v>
      </c>
      <c r="E194" s="18" t="s">
        <v>374</v>
      </c>
      <c r="F194" t="s">
        <v>375</v>
      </c>
      <c r="G194" t="s">
        <v>376</v>
      </c>
      <c r="H194">
        <v>1</v>
      </c>
      <c r="I194">
        <v>3</v>
      </c>
      <c r="J194">
        <v>3</v>
      </c>
      <c r="K194" t="str">
        <f t="shared" si="20"/>
        <v>3/3</v>
      </c>
      <c r="L194" t="s">
        <v>103</v>
      </c>
      <c r="M194" t="s">
        <v>25</v>
      </c>
      <c r="N194" s="8" t="str">
        <f t="shared" si="21"/>
        <v>Pron+N</v>
      </c>
      <c r="O194">
        <v>2</v>
      </c>
      <c r="Q194" t="s">
        <v>511</v>
      </c>
    </row>
    <row r="195" spans="4:17" x14ac:dyDescent="0.3">
      <c r="E195" t="s">
        <v>377</v>
      </c>
      <c r="F195" t="s">
        <v>378</v>
      </c>
      <c r="G195" t="s">
        <v>379</v>
      </c>
      <c r="H195">
        <v>1</v>
      </c>
      <c r="I195">
        <v>2</v>
      </c>
      <c r="J195">
        <v>2</v>
      </c>
      <c r="K195" t="str">
        <f t="shared" si="20"/>
        <v>2/2</v>
      </c>
      <c r="L195" t="s">
        <v>19</v>
      </c>
      <c r="M195" t="s">
        <v>101</v>
      </c>
      <c r="N195" s="8" t="str">
        <f t="shared" si="21"/>
        <v>V+Adj</v>
      </c>
      <c r="O195">
        <v>2</v>
      </c>
      <c r="Q195" t="s">
        <v>512</v>
      </c>
    </row>
    <row r="196" spans="4:17" x14ac:dyDescent="0.3">
      <c r="E196" t="s">
        <v>377</v>
      </c>
      <c r="F196" t="s">
        <v>378</v>
      </c>
      <c r="G196" t="s">
        <v>379</v>
      </c>
      <c r="H196">
        <v>1</v>
      </c>
      <c r="I196">
        <v>2</v>
      </c>
      <c r="J196">
        <v>2</v>
      </c>
      <c r="K196" t="str">
        <f t="shared" si="20"/>
        <v>2/2</v>
      </c>
      <c r="L196" t="s">
        <v>19</v>
      </c>
      <c r="M196" t="s">
        <v>101</v>
      </c>
      <c r="N196" s="8" t="str">
        <f t="shared" si="21"/>
        <v>V+Adj</v>
      </c>
      <c r="O196">
        <v>2</v>
      </c>
      <c r="Q196" t="s">
        <v>512</v>
      </c>
    </row>
    <row r="198" spans="4:17" x14ac:dyDescent="0.3">
      <c r="D198" s="16" t="s">
        <v>380</v>
      </c>
      <c r="E198" t="s">
        <v>381</v>
      </c>
      <c r="F198" t="s">
        <v>382</v>
      </c>
      <c r="G198" t="s">
        <v>383</v>
      </c>
      <c r="H198">
        <v>2</v>
      </c>
      <c r="I198" t="s">
        <v>519</v>
      </c>
      <c r="J198">
        <v>2</v>
      </c>
      <c r="K198" t="str">
        <f>_xlfn.CONCAT(I198,"/",J198)</f>
        <v>3+1/2</v>
      </c>
      <c r="L198" t="s">
        <v>175</v>
      </c>
      <c r="M198" t="s">
        <v>101</v>
      </c>
      <c r="N198" s="8" t="str">
        <f t="shared" si="21"/>
        <v>V+Conj+Adj</v>
      </c>
      <c r="O198">
        <v>2</v>
      </c>
      <c r="Q198" t="s">
        <v>511</v>
      </c>
    </row>
    <row r="199" spans="4:17" x14ac:dyDescent="0.3">
      <c r="E199" t="s">
        <v>382</v>
      </c>
      <c r="F199" t="s">
        <v>384</v>
      </c>
      <c r="G199" t="s">
        <v>383</v>
      </c>
      <c r="H199">
        <v>2</v>
      </c>
      <c r="I199">
        <v>2</v>
      </c>
      <c r="J199">
        <v>2</v>
      </c>
      <c r="K199" t="str">
        <f t="shared" si="20"/>
        <v>2/2</v>
      </c>
      <c r="L199" t="s">
        <v>101</v>
      </c>
      <c r="M199" t="s">
        <v>19</v>
      </c>
      <c r="N199" s="8" t="str">
        <f t="shared" si="21"/>
        <v>Adj+V</v>
      </c>
      <c r="O199">
        <v>2</v>
      </c>
      <c r="Q199" t="s">
        <v>511</v>
      </c>
    </row>
    <row r="200" spans="4:17" x14ac:dyDescent="0.3">
      <c r="E200" t="s">
        <v>384</v>
      </c>
      <c r="F200" t="s">
        <v>385</v>
      </c>
      <c r="G200" t="s">
        <v>383</v>
      </c>
      <c r="H200">
        <v>2</v>
      </c>
      <c r="I200">
        <v>2</v>
      </c>
      <c r="J200">
        <v>4</v>
      </c>
      <c r="K200" t="str">
        <f t="shared" si="20"/>
        <v>2/4</v>
      </c>
      <c r="L200" t="s">
        <v>19</v>
      </c>
      <c r="M200" t="s">
        <v>19</v>
      </c>
      <c r="N200" s="8" t="str">
        <f t="shared" si="21"/>
        <v>V+V</v>
      </c>
      <c r="O200">
        <v>0</v>
      </c>
      <c r="Q200" t="s">
        <v>511</v>
      </c>
    </row>
    <row r="201" spans="4:17" x14ac:dyDescent="0.3">
      <c r="E201" t="s">
        <v>386</v>
      </c>
      <c r="F201" t="s">
        <v>387</v>
      </c>
      <c r="G201" t="s">
        <v>388</v>
      </c>
      <c r="H201">
        <v>1</v>
      </c>
      <c r="I201">
        <v>1</v>
      </c>
      <c r="J201">
        <v>1</v>
      </c>
      <c r="K201" t="str">
        <f t="shared" si="20"/>
        <v>1/1</v>
      </c>
      <c r="L201" t="s">
        <v>19</v>
      </c>
      <c r="M201" t="s">
        <v>25</v>
      </c>
      <c r="N201" s="8" t="str">
        <f t="shared" si="21"/>
        <v>V+N</v>
      </c>
      <c r="O201">
        <v>2</v>
      </c>
      <c r="Q201" t="s">
        <v>512</v>
      </c>
    </row>
    <row r="202" spans="4:17" x14ac:dyDescent="0.3">
      <c r="E202" t="s">
        <v>387</v>
      </c>
      <c r="F202" t="s">
        <v>389</v>
      </c>
      <c r="G202" t="s">
        <v>388</v>
      </c>
      <c r="H202">
        <v>1</v>
      </c>
      <c r="I202">
        <v>1</v>
      </c>
      <c r="J202">
        <v>1</v>
      </c>
      <c r="K202" t="str">
        <f t="shared" si="20"/>
        <v>1/1</v>
      </c>
      <c r="L202" t="s">
        <v>19</v>
      </c>
      <c r="M202" t="s">
        <v>19</v>
      </c>
      <c r="N202" s="8" t="str">
        <f t="shared" si="21"/>
        <v>V+V</v>
      </c>
      <c r="O202">
        <v>0</v>
      </c>
      <c r="Q202" t="s">
        <v>512</v>
      </c>
    </row>
    <row r="203" spans="4:17" x14ac:dyDescent="0.3">
      <c r="E203" t="s">
        <v>384</v>
      </c>
      <c r="F203" t="s">
        <v>385</v>
      </c>
      <c r="G203" t="s">
        <v>383</v>
      </c>
      <c r="H203">
        <v>2</v>
      </c>
      <c r="I203">
        <v>2</v>
      </c>
      <c r="J203">
        <v>4</v>
      </c>
      <c r="K203" t="str">
        <f t="shared" si="20"/>
        <v>2/4</v>
      </c>
      <c r="L203" t="s">
        <v>19</v>
      </c>
      <c r="M203" t="s">
        <v>19</v>
      </c>
      <c r="N203" s="8" t="str">
        <f t="shared" si="21"/>
        <v>V+V</v>
      </c>
      <c r="O203">
        <v>0</v>
      </c>
      <c r="Q203" t="s">
        <v>511</v>
      </c>
    </row>
    <row r="204" spans="4:17" x14ac:dyDescent="0.3">
      <c r="N204" s="8" t="str">
        <f t="shared" si="21"/>
        <v>+</v>
      </c>
    </row>
    <row r="205" spans="4:17" x14ac:dyDescent="0.3">
      <c r="D205" s="16" t="s">
        <v>390</v>
      </c>
      <c r="E205" t="s">
        <v>391</v>
      </c>
      <c r="F205" t="s">
        <v>392</v>
      </c>
      <c r="G205" t="s">
        <v>393</v>
      </c>
      <c r="H205">
        <v>2</v>
      </c>
      <c r="I205">
        <v>4</v>
      </c>
      <c r="J205">
        <v>2</v>
      </c>
      <c r="K205" t="str">
        <f t="shared" si="20"/>
        <v>4/2</v>
      </c>
      <c r="L205" t="s">
        <v>25</v>
      </c>
      <c r="M205" t="s">
        <v>25</v>
      </c>
      <c r="N205" s="8" t="str">
        <f t="shared" si="21"/>
        <v>N+N</v>
      </c>
      <c r="O205">
        <v>1</v>
      </c>
      <c r="Q205" t="s">
        <v>511</v>
      </c>
    </row>
    <row r="206" spans="4:17" x14ac:dyDescent="0.3">
      <c r="E206" t="s">
        <v>394</v>
      </c>
      <c r="F206" t="s">
        <v>395</v>
      </c>
      <c r="G206" t="s">
        <v>396</v>
      </c>
      <c r="H206">
        <v>1</v>
      </c>
      <c r="I206">
        <v>1</v>
      </c>
      <c r="J206">
        <v>1</v>
      </c>
      <c r="K206" t="str">
        <f t="shared" si="20"/>
        <v>1/1</v>
      </c>
      <c r="L206" t="s">
        <v>25</v>
      </c>
      <c r="M206" t="s">
        <v>59</v>
      </c>
      <c r="N206" s="8" t="str">
        <f t="shared" si="21"/>
        <v>N+Adv</v>
      </c>
      <c r="O206">
        <v>2</v>
      </c>
      <c r="Q206" t="s">
        <v>512</v>
      </c>
    </row>
    <row r="207" spans="4:17" x14ac:dyDescent="0.3">
      <c r="E207" t="s">
        <v>397</v>
      </c>
      <c r="F207" t="s">
        <v>398</v>
      </c>
      <c r="G207" t="s">
        <v>399</v>
      </c>
      <c r="H207">
        <v>1</v>
      </c>
      <c r="I207">
        <v>4</v>
      </c>
      <c r="J207">
        <v>2</v>
      </c>
      <c r="K207" t="str">
        <f t="shared" si="20"/>
        <v>4/2</v>
      </c>
      <c r="L207" t="s">
        <v>25</v>
      </c>
      <c r="M207" t="s">
        <v>25</v>
      </c>
      <c r="N207" s="8" t="str">
        <f t="shared" si="21"/>
        <v>N+N</v>
      </c>
      <c r="O207">
        <v>1</v>
      </c>
      <c r="Q207" t="s">
        <v>511</v>
      </c>
    </row>
    <row r="208" spans="4:17" x14ac:dyDescent="0.3">
      <c r="E208" t="s">
        <v>400</v>
      </c>
      <c r="F208" t="s">
        <v>401</v>
      </c>
      <c r="G208" t="s">
        <v>402</v>
      </c>
      <c r="H208">
        <v>2</v>
      </c>
      <c r="I208">
        <v>4</v>
      </c>
      <c r="J208">
        <v>4</v>
      </c>
      <c r="K208" t="str">
        <f t="shared" si="20"/>
        <v>4/4</v>
      </c>
      <c r="L208" t="s">
        <v>25</v>
      </c>
      <c r="M208" t="s">
        <v>25</v>
      </c>
      <c r="N208" s="8" t="str">
        <f t="shared" si="21"/>
        <v>N+N</v>
      </c>
      <c r="O208">
        <v>0</v>
      </c>
      <c r="Q208" t="s">
        <v>511</v>
      </c>
    </row>
    <row r="209" spans="4:17" x14ac:dyDescent="0.3">
      <c r="E209" t="s">
        <v>403</v>
      </c>
      <c r="F209" t="s">
        <v>404</v>
      </c>
      <c r="G209" t="s">
        <v>393</v>
      </c>
      <c r="H209">
        <v>2</v>
      </c>
      <c r="I209">
        <v>4</v>
      </c>
      <c r="J209">
        <v>2</v>
      </c>
      <c r="K209" t="str">
        <f>_xlfn.CONCAT(I209,"/",J209)</f>
        <v>4/2</v>
      </c>
      <c r="L209" t="s">
        <v>25</v>
      </c>
      <c r="M209" t="s">
        <v>25</v>
      </c>
      <c r="N209" s="8" t="str">
        <f t="shared" si="21"/>
        <v>N+N</v>
      </c>
      <c r="O209">
        <v>0</v>
      </c>
      <c r="Q209" t="s">
        <v>511</v>
      </c>
    </row>
    <row r="211" spans="4:17" x14ac:dyDescent="0.3">
      <c r="D211" s="16" t="s">
        <v>405</v>
      </c>
      <c r="E211" t="s">
        <v>406</v>
      </c>
      <c r="F211" t="s">
        <v>407</v>
      </c>
      <c r="G211" t="s">
        <v>146</v>
      </c>
      <c r="H211">
        <v>2</v>
      </c>
      <c r="I211" t="s">
        <v>422</v>
      </c>
      <c r="J211" t="s">
        <v>520</v>
      </c>
      <c r="K211" t="str">
        <f t="shared" si="20"/>
        <v>2+1/1+2</v>
      </c>
      <c r="L211" t="s">
        <v>176</v>
      </c>
      <c r="M211" t="s">
        <v>25</v>
      </c>
      <c r="N211" s="8" t="str">
        <f t="shared" si="21"/>
        <v>Pron+Pron+N</v>
      </c>
      <c r="O211">
        <v>2</v>
      </c>
      <c r="Q211" t="s">
        <v>511</v>
      </c>
    </row>
    <row r="212" spans="4:17" x14ac:dyDescent="0.3">
      <c r="E212" t="s">
        <v>408</v>
      </c>
      <c r="F212" t="s">
        <v>409</v>
      </c>
      <c r="G212" t="s">
        <v>410</v>
      </c>
      <c r="H212">
        <v>2</v>
      </c>
      <c r="I212">
        <v>3</v>
      </c>
      <c r="J212">
        <v>3</v>
      </c>
      <c r="K212" t="str">
        <f t="shared" si="20"/>
        <v>3/3</v>
      </c>
      <c r="L212" t="s">
        <v>19</v>
      </c>
      <c r="M212" t="s">
        <v>19</v>
      </c>
      <c r="N212" s="8" t="str">
        <f t="shared" si="21"/>
        <v>V+V</v>
      </c>
      <c r="O212">
        <v>0</v>
      </c>
      <c r="Q212" t="s">
        <v>511</v>
      </c>
    </row>
    <row r="213" spans="4:17" x14ac:dyDescent="0.3">
      <c r="E213" t="s">
        <v>411</v>
      </c>
      <c r="F213" t="s">
        <v>412</v>
      </c>
      <c r="G213" t="s">
        <v>84</v>
      </c>
      <c r="H213">
        <v>1</v>
      </c>
      <c r="I213">
        <v>1</v>
      </c>
      <c r="J213">
        <v>3</v>
      </c>
      <c r="K213" t="str">
        <f t="shared" si="20"/>
        <v>1/3</v>
      </c>
      <c r="L213" t="s">
        <v>19</v>
      </c>
      <c r="M213" t="s">
        <v>19</v>
      </c>
      <c r="N213" s="8" t="str">
        <f t="shared" si="21"/>
        <v>V+V</v>
      </c>
      <c r="O213">
        <v>0</v>
      </c>
      <c r="Q213" t="s">
        <v>512</v>
      </c>
    </row>
    <row r="214" spans="4:17" x14ac:dyDescent="0.3">
      <c r="E214" t="s">
        <v>413</v>
      </c>
      <c r="F214" t="s">
        <v>414</v>
      </c>
      <c r="G214" t="s">
        <v>415</v>
      </c>
      <c r="H214">
        <v>1</v>
      </c>
      <c r="I214">
        <v>3</v>
      </c>
      <c r="J214">
        <v>2</v>
      </c>
      <c r="K214" t="str">
        <f t="shared" si="20"/>
        <v>3/2</v>
      </c>
      <c r="L214" t="s">
        <v>101</v>
      </c>
      <c r="M214" t="s">
        <v>101</v>
      </c>
      <c r="N214" s="8" t="str">
        <f t="shared" si="21"/>
        <v>Adj+Adj</v>
      </c>
      <c r="O214">
        <v>0</v>
      </c>
      <c r="Q214" t="s">
        <v>511</v>
      </c>
    </row>
    <row r="215" spans="4:17" x14ac:dyDescent="0.3">
      <c r="E215" t="s">
        <v>416</v>
      </c>
      <c r="F215" t="s">
        <v>417</v>
      </c>
      <c r="G215" t="s">
        <v>418</v>
      </c>
      <c r="H215">
        <v>2</v>
      </c>
      <c r="I215">
        <v>2</v>
      </c>
      <c r="J215">
        <v>4</v>
      </c>
      <c r="K215" t="str">
        <f t="shared" si="20"/>
        <v>2/4</v>
      </c>
      <c r="L215" t="s">
        <v>19</v>
      </c>
      <c r="M215" t="s">
        <v>19</v>
      </c>
      <c r="N215" s="8" t="str">
        <f t="shared" si="21"/>
        <v>V+V</v>
      </c>
      <c r="O215">
        <v>0</v>
      </c>
      <c r="Q215" t="s">
        <v>512</v>
      </c>
    </row>
    <row r="216" spans="4:17" x14ac:dyDescent="0.3">
      <c r="E216" t="s">
        <v>419</v>
      </c>
      <c r="F216" t="s">
        <v>420</v>
      </c>
      <c r="G216" t="s">
        <v>421</v>
      </c>
      <c r="H216">
        <v>2</v>
      </c>
      <c r="I216" t="s">
        <v>422</v>
      </c>
      <c r="J216">
        <v>3</v>
      </c>
      <c r="K216" t="str">
        <f t="shared" si="20"/>
        <v>2+1/3</v>
      </c>
      <c r="L216" t="s">
        <v>423</v>
      </c>
      <c r="M216" t="s">
        <v>19</v>
      </c>
      <c r="N216" s="8" t="str">
        <f t="shared" si="21"/>
        <v>Pron+Part+V</v>
      </c>
      <c r="O216">
        <v>2</v>
      </c>
      <c r="Q216" t="s">
        <v>511</v>
      </c>
    </row>
    <row r="217" spans="4:17" x14ac:dyDescent="0.3">
      <c r="E217" t="s">
        <v>411</v>
      </c>
      <c r="F217" t="s">
        <v>424</v>
      </c>
      <c r="G217" t="s">
        <v>84</v>
      </c>
      <c r="H217">
        <v>1</v>
      </c>
      <c r="I217">
        <v>1</v>
      </c>
      <c r="J217">
        <v>3</v>
      </c>
      <c r="K217" t="str">
        <f t="shared" si="20"/>
        <v>1/3</v>
      </c>
      <c r="L217" t="s">
        <v>19</v>
      </c>
      <c r="M217" t="s">
        <v>19</v>
      </c>
      <c r="N217" s="8" t="str">
        <f t="shared" si="21"/>
        <v>V+V</v>
      </c>
      <c r="O217">
        <v>0</v>
      </c>
      <c r="Q217" t="s">
        <v>512</v>
      </c>
    </row>
    <row r="219" spans="4:17" x14ac:dyDescent="0.3">
      <c r="D219" s="16" t="s">
        <v>425</v>
      </c>
      <c r="E219" t="s">
        <v>426</v>
      </c>
      <c r="F219" t="s">
        <v>427</v>
      </c>
      <c r="G219" t="s">
        <v>261</v>
      </c>
      <c r="H219">
        <v>1</v>
      </c>
      <c r="I219">
        <v>3</v>
      </c>
      <c r="J219">
        <v>3</v>
      </c>
      <c r="K219" t="str">
        <f t="shared" si="20"/>
        <v>3/3</v>
      </c>
      <c r="L219" t="s">
        <v>25</v>
      </c>
      <c r="M219" t="s">
        <v>19</v>
      </c>
      <c r="N219" s="8" t="str">
        <f t="shared" si="21"/>
        <v>N+V</v>
      </c>
      <c r="O219">
        <v>2</v>
      </c>
      <c r="Q219" t="s">
        <v>512</v>
      </c>
    </row>
    <row r="221" spans="4:17" x14ac:dyDescent="0.3">
      <c r="D221" s="16" t="s">
        <v>428</v>
      </c>
      <c r="E221" t="s">
        <v>429</v>
      </c>
      <c r="F221" t="s">
        <v>430</v>
      </c>
      <c r="G221" t="s">
        <v>431</v>
      </c>
      <c r="H221">
        <v>2</v>
      </c>
      <c r="I221">
        <v>2</v>
      </c>
      <c r="J221">
        <v>2</v>
      </c>
      <c r="K221" t="str">
        <f t="shared" si="20"/>
        <v>2/2</v>
      </c>
      <c r="L221" t="s">
        <v>25</v>
      </c>
      <c r="M221" t="s">
        <v>19</v>
      </c>
      <c r="N221" s="8" t="str">
        <f t="shared" si="21"/>
        <v>N+V</v>
      </c>
      <c r="O221">
        <v>2</v>
      </c>
      <c r="Q221" t="s">
        <v>512</v>
      </c>
    </row>
    <row r="222" spans="4:17" x14ac:dyDescent="0.3">
      <c r="E222" t="s">
        <v>432</v>
      </c>
      <c r="F222" t="s">
        <v>433</v>
      </c>
      <c r="G222" t="s">
        <v>434</v>
      </c>
      <c r="H222">
        <v>2</v>
      </c>
      <c r="I222">
        <v>3</v>
      </c>
      <c r="J222">
        <v>3</v>
      </c>
      <c r="K222" t="str">
        <f t="shared" si="20"/>
        <v>3/3</v>
      </c>
      <c r="L222" t="s">
        <v>25</v>
      </c>
      <c r="M222" t="s">
        <v>19</v>
      </c>
      <c r="N222" s="8" t="str">
        <f t="shared" si="21"/>
        <v>N+V</v>
      </c>
      <c r="O222">
        <v>2</v>
      </c>
      <c r="Q222" t="s">
        <v>511</v>
      </c>
    </row>
    <row r="224" spans="4:17" x14ac:dyDescent="0.3">
      <c r="D224" s="16" t="s">
        <v>435</v>
      </c>
      <c r="E224" t="s">
        <v>436</v>
      </c>
      <c r="F224" t="s">
        <v>437</v>
      </c>
      <c r="G224" t="s">
        <v>438</v>
      </c>
      <c r="H224">
        <v>2</v>
      </c>
      <c r="I224">
        <v>3</v>
      </c>
      <c r="J224">
        <v>3</v>
      </c>
      <c r="K224" t="str">
        <f t="shared" si="20"/>
        <v>3/3</v>
      </c>
      <c r="L224" t="s">
        <v>101</v>
      </c>
      <c r="M224" t="s">
        <v>19</v>
      </c>
      <c r="N224" s="8" t="str">
        <f t="shared" si="21"/>
        <v>Adj+V</v>
      </c>
      <c r="O224">
        <v>2</v>
      </c>
      <c r="Q224" t="s">
        <v>511</v>
      </c>
    </row>
    <row r="225" spans="4:17" x14ac:dyDescent="0.3">
      <c r="E225" t="s">
        <v>439</v>
      </c>
      <c r="F225" t="s">
        <v>440</v>
      </c>
      <c r="G225" t="s">
        <v>441</v>
      </c>
      <c r="H225">
        <v>1</v>
      </c>
      <c r="I225">
        <v>2</v>
      </c>
      <c r="J225">
        <v>3</v>
      </c>
      <c r="K225" t="str">
        <f t="shared" si="20"/>
        <v>2/3</v>
      </c>
      <c r="L225" t="s">
        <v>25</v>
      </c>
      <c r="M225" t="s">
        <v>25</v>
      </c>
      <c r="N225" s="8" t="str">
        <f t="shared" si="21"/>
        <v>N+N</v>
      </c>
      <c r="O225">
        <v>0</v>
      </c>
      <c r="Q225" t="s">
        <v>512</v>
      </c>
    </row>
    <row r="226" spans="4:17" x14ac:dyDescent="0.3">
      <c r="E226" t="s">
        <v>442</v>
      </c>
      <c r="F226" t="s">
        <v>443</v>
      </c>
      <c r="G226" t="s">
        <v>444</v>
      </c>
      <c r="H226">
        <v>3</v>
      </c>
      <c r="I226">
        <v>4</v>
      </c>
      <c r="J226">
        <v>4</v>
      </c>
      <c r="K226" t="str">
        <f t="shared" si="20"/>
        <v>4/4</v>
      </c>
      <c r="L226" t="s">
        <v>25</v>
      </c>
      <c r="M226" t="s">
        <v>25</v>
      </c>
      <c r="N226" s="8" t="str">
        <f t="shared" si="21"/>
        <v>N+N</v>
      </c>
      <c r="O226">
        <v>0</v>
      </c>
      <c r="Q226" t="s">
        <v>511</v>
      </c>
    </row>
    <row r="227" spans="4:17" x14ac:dyDescent="0.3">
      <c r="E227" t="s">
        <v>443</v>
      </c>
      <c r="F227" t="s">
        <v>445</v>
      </c>
      <c r="G227" t="s">
        <v>446</v>
      </c>
      <c r="H227">
        <v>2</v>
      </c>
      <c r="I227">
        <v>4</v>
      </c>
      <c r="J227">
        <v>4</v>
      </c>
      <c r="K227" t="str">
        <f t="shared" si="20"/>
        <v>4/4</v>
      </c>
      <c r="L227" t="s">
        <v>25</v>
      </c>
      <c r="M227" t="s">
        <v>25</v>
      </c>
      <c r="N227" s="8" t="str">
        <f t="shared" si="21"/>
        <v>N+N</v>
      </c>
      <c r="O227">
        <v>0</v>
      </c>
      <c r="Q227" t="s">
        <v>511</v>
      </c>
    </row>
    <row r="228" spans="4:17" x14ac:dyDescent="0.3">
      <c r="E228" t="s">
        <v>447</v>
      </c>
      <c r="F228" t="s">
        <v>448</v>
      </c>
      <c r="G228" t="s">
        <v>449</v>
      </c>
      <c r="H228">
        <v>2</v>
      </c>
      <c r="I228" t="s">
        <v>519</v>
      </c>
      <c r="J228">
        <v>3</v>
      </c>
      <c r="K228" t="str">
        <f t="shared" si="20"/>
        <v>3+1/3</v>
      </c>
      <c r="L228" t="s">
        <v>176</v>
      </c>
      <c r="M228" t="s">
        <v>101</v>
      </c>
      <c r="N228" s="8" t="str">
        <f t="shared" si="21"/>
        <v>Pron+Pron+Adj</v>
      </c>
      <c r="O228">
        <v>2</v>
      </c>
      <c r="Q228" t="s">
        <v>511</v>
      </c>
    </row>
    <row r="229" spans="4:17" x14ac:dyDescent="0.3">
      <c r="E229" t="s">
        <v>450</v>
      </c>
      <c r="F229" t="s">
        <v>451</v>
      </c>
      <c r="G229" t="s">
        <v>108</v>
      </c>
      <c r="H229">
        <v>1</v>
      </c>
      <c r="I229">
        <v>3</v>
      </c>
      <c r="J229">
        <v>1</v>
      </c>
      <c r="K229" t="str">
        <f t="shared" si="20"/>
        <v>3/1</v>
      </c>
      <c r="L229" t="s">
        <v>19</v>
      </c>
      <c r="M229" t="s">
        <v>59</v>
      </c>
      <c r="N229" s="8" t="str">
        <f t="shared" si="21"/>
        <v>V+Adv</v>
      </c>
      <c r="O229">
        <v>2</v>
      </c>
      <c r="Q229" t="s">
        <v>512</v>
      </c>
    </row>
    <row r="231" spans="4:17" x14ac:dyDescent="0.3">
      <c r="D231" s="16" t="s">
        <v>452</v>
      </c>
      <c r="E231" t="s">
        <v>453</v>
      </c>
      <c r="F231" t="s">
        <v>454</v>
      </c>
      <c r="G231" t="s">
        <v>132</v>
      </c>
      <c r="H231">
        <v>2</v>
      </c>
      <c r="I231">
        <v>4</v>
      </c>
      <c r="J231">
        <v>4</v>
      </c>
      <c r="K231" t="str">
        <f t="shared" si="20"/>
        <v>4/4</v>
      </c>
      <c r="L231" t="s">
        <v>19</v>
      </c>
      <c r="M231" t="s">
        <v>19</v>
      </c>
      <c r="N231" s="8" t="str">
        <f t="shared" si="21"/>
        <v>V+V</v>
      </c>
      <c r="O231">
        <v>0</v>
      </c>
      <c r="Q231" t="s">
        <v>511</v>
      </c>
    </row>
    <row r="232" spans="4:17" x14ac:dyDescent="0.3">
      <c r="E232" t="s">
        <v>324</v>
      </c>
      <c r="F232" t="s">
        <v>455</v>
      </c>
      <c r="G232" t="s">
        <v>326</v>
      </c>
      <c r="H232">
        <v>1</v>
      </c>
      <c r="I232">
        <v>1</v>
      </c>
      <c r="J232">
        <v>1</v>
      </c>
      <c r="K232" t="str">
        <f t="shared" si="20"/>
        <v>1/1</v>
      </c>
      <c r="L232" t="s">
        <v>25</v>
      </c>
      <c r="M232" t="s">
        <v>19</v>
      </c>
      <c r="N232" s="8" t="str">
        <f t="shared" si="21"/>
        <v>N+V</v>
      </c>
      <c r="O232">
        <v>2</v>
      </c>
      <c r="Q232" t="s">
        <v>512</v>
      </c>
    </row>
    <row r="233" spans="4:17" x14ac:dyDescent="0.3">
      <c r="E233" t="s">
        <v>456</v>
      </c>
      <c r="F233" t="s">
        <v>457</v>
      </c>
      <c r="G233" t="s">
        <v>458</v>
      </c>
      <c r="H233">
        <v>2</v>
      </c>
      <c r="I233">
        <v>2</v>
      </c>
      <c r="J233">
        <v>2</v>
      </c>
      <c r="K233" t="str">
        <f t="shared" si="20"/>
        <v>2/2</v>
      </c>
      <c r="L233" t="s">
        <v>25</v>
      </c>
      <c r="M233" t="s">
        <v>25</v>
      </c>
      <c r="N233" s="8" t="str">
        <f t="shared" si="21"/>
        <v>N+N</v>
      </c>
      <c r="O233">
        <v>1</v>
      </c>
      <c r="Q233" t="s">
        <v>512</v>
      </c>
    </row>
    <row r="234" spans="4:17" x14ac:dyDescent="0.3">
      <c r="E234" t="s">
        <v>459</v>
      </c>
      <c r="F234" t="s">
        <v>453</v>
      </c>
      <c r="G234" t="s">
        <v>132</v>
      </c>
      <c r="H234">
        <v>2</v>
      </c>
      <c r="I234">
        <v>4</v>
      </c>
      <c r="J234">
        <v>4</v>
      </c>
      <c r="K234" t="str">
        <f t="shared" si="20"/>
        <v>4/4</v>
      </c>
      <c r="L234" t="s">
        <v>19</v>
      </c>
      <c r="M234" t="s">
        <v>19</v>
      </c>
      <c r="N234" s="8" t="str">
        <f t="shared" si="21"/>
        <v>V+V</v>
      </c>
      <c r="O234">
        <v>0</v>
      </c>
      <c r="Q234" t="s">
        <v>511</v>
      </c>
    </row>
    <row r="236" spans="4:17" x14ac:dyDescent="0.3">
      <c r="D236" s="16" t="s">
        <v>460</v>
      </c>
      <c r="E236" t="s">
        <v>461</v>
      </c>
      <c r="F236" t="s">
        <v>325</v>
      </c>
      <c r="G236" t="s">
        <v>326</v>
      </c>
      <c r="H236">
        <v>1</v>
      </c>
      <c r="I236">
        <v>2</v>
      </c>
      <c r="J236">
        <v>1</v>
      </c>
      <c r="K236" t="str">
        <f t="shared" si="20"/>
        <v>2/1</v>
      </c>
      <c r="L236" t="s">
        <v>25</v>
      </c>
      <c r="M236" t="s">
        <v>19</v>
      </c>
      <c r="N236" s="8" t="str">
        <f t="shared" si="21"/>
        <v>N+V</v>
      </c>
      <c r="O236">
        <v>2</v>
      </c>
      <c r="Q236" t="s">
        <v>512</v>
      </c>
    </row>
    <row r="237" spans="4:17" x14ac:dyDescent="0.3">
      <c r="E237" t="s">
        <v>325</v>
      </c>
      <c r="F237" t="s">
        <v>462</v>
      </c>
      <c r="G237" t="s">
        <v>326</v>
      </c>
      <c r="H237">
        <v>1</v>
      </c>
      <c r="I237">
        <v>1</v>
      </c>
      <c r="J237">
        <v>2</v>
      </c>
      <c r="K237" t="str">
        <f t="shared" si="20"/>
        <v>1/2</v>
      </c>
      <c r="L237" t="s">
        <v>19</v>
      </c>
      <c r="M237" t="s">
        <v>19</v>
      </c>
      <c r="N237" s="8" t="str">
        <f t="shared" si="21"/>
        <v>V+V</v>
      </c>
      <c r="O237">
        <v>0</v>
      </c>
      <c r="Q237" t="s">
        <v>512</v>
      </c>
    </row>
    <row r="238" spans="4:17" x14ac:dyDescent="0.3">
      <c r="E238" t="s">
        <v>462</v>
      </c>
      <c r="F238" t="s">
        <v>463</v>
      </c>
      <c r="G238" t="s">
        <v>326</v>
      </c>
      <c r="H238">
        <v>1</v>
      </c>
      <c r="I238">
        <v>2</v>
      </c>
      <c r="J238">
        <v>2</v>
      </c>
      <c r="K238" t="str">
        <f t="shared" si="20"/>
        <v>2/2</v>
      </c>
      <c r="L238" t="s">
        <v>19</v>
      </c>
      <c r="M238" t="s">
        <v>19</v>
      </c>
      <c r="N238" s="8" t="str">
        <f t="shared" si="21"/>
        <v>V+V</v>
      </c>
      <c r="O238">
        <v>0</v>
      </c>
      <c r="Q238" t="s">
        <v>512</v>
      </c>
    </row>
    <row r="239" spans="4:17" x14ac:dyDescent="0.3">
      <c r="E239" t="s">
        <v>463</v>
      </c>
      <c r="F239" t="s">
        <v>461</v>
      </c>
      <c r="G239" t="s">
        <v>326</v>
      </c>
      <c r="H239">
        <v>1</v>
      </c>
      <c r="I239">
        <v>2</v>
      </c>
      <c r="J239">
        <v>2</v>
      </c>
      <c r="K239" t="str">
        <f t="shared" si="20"/>
        <v>2/2</v>
      </c>
      <c r="L239" t="s">
        <v>19</v>
      </c>
      <c r="M239" t="s">
        <v>25</v>
      </c>
      <c r="N239" s="8" t="str">
        <f t="shared" si="21"/>
        <v>V+N</v>
      </c>
      <c r="O239">
        <v>2</v>
      </c>
      <c r="Q239" t="s">
        <v>512</v>
      </c>
    </row>
    <row r="240" spans="4:17" x14ac:dyDescent="0.3">
      <c r="E240" t="s">
        <v>461</v>
      </c>
      <c r="F240" t="s">
        <v>464</v>
      </c>
      <c r="G240" t="s">
        <v>326</v>
      </c>
      <c r="H240">
        <v>1</v>
      </c>
      <c r="I240">
        <v>2</v>
      </c>
      <c r="J240">
        <v>2</v>
      </c>
      <c r="K240" t="str">
        <f t="shared" si="20"/>
        <v>2/2</v>
      </c>
      <c r="L240" t="s">
        <v>25</v>
      </c>
      <c r="M240" t="s">
        <v>19</v>
      </c>
      <c r="N240" s="8" t="str">
        <f t="shared" si="21"/>
        <v>N+V</v>
      </c>
      <c r="O240">
        <v>2</v>
      </c>
      <c r="Q240" t="s">
        <v>512</v>
      </c>
    </row>
    <row r="241" spans="5:17" x14ac:dyDescent="0.3">
      <c r="E241" t="s">
        <v>464</v>
      </c>
      <c r="F241" t="s">
        <v>465</v>
      </c>
      <c r="G241" t="s">
        <v>326</v>
      </c>
      <c r="H241">
        <v>1</v>
      </c>
      <c r="I241">
        <v>2</v>
      </c>
      <c r="J241">
        <v>3</v>
      </c>
      <c r="K241" t="str">
        <f t="shared" ref="K241:K248" si="22">_xlfn.CONCAT(I241,"/",J241)</f>
        <v>2/3</v>
      </c>
      <c r="L241" t="s">
        <v>19</v>
      </c>
      <c r="M241" t="s">
        <v>19</v>
      </c>
      <c r="N241" s="8" t="str">
        <f t="shared" si="21"/>
        <v>V+V</v>
      </c>
      <c r="O241">
        <v>0</v>
      </c>
      <c r="Q241" t="s">
        <v>512</v>
      </c>
    </row>
    <row r="242" spans="5:17" x14ac:dyDescent="0.3">
      <c r="E242" t="s">
        <v>466</v>
      </c>
      <c r="F242" t="s">
        <v>467</v>
      </c>
      <c r="G242" t="s">
        <v>261</v>
      </c>
      <c r="H242">
        <v>1</v>
      </c>
      <c r="I242">
        <v>3</v>
      </c>
      <c r="J242">
        <v>1</v>
      </c>
      <c r="K242" t="str">
        <f t="shared" si="22"/>
        <v>3/1</v>
      </c>
      <c r="L242" t="s">
        <v>19</v>
      </c>
      <c r="M242" t="s">
        <v>25</v>
      </c>
      <c r="N242" s="8" t="str">
        <f t="shared" si="21"/>
        <v>V+N</v>
      </c>
      <c r="O242">
        <v>2</v>
      </c>
      <c r="Q242" t="s">
        <v>512</v>
      </c>
    </row>
    <row r="243" spans="5:17" x14ac:dyDescent="0.3">
      <c r="E243" t="s">
        <v>468</v>
      </c>
      <c r="F243" t="s">
        <v>469</v>
      </c>
      <c r="G243" t="s">
        <v>470</v>
      </c>
      <c r="H243">
        <v>1</v>
      </c>
      <c r="I243">
        <v>3</v>
      </c>
      <c r="J243">
        <v>3</v>
      </c>
      <c r="K243" t="str">
        <f t="shared" si="22"/>
        <v>3/3</v>
      </c>
      <c r="L243" t="s">
        <v>25</v>
      </c>
      <c r="M243" t="s">
        <v>25</v>
      </c>
      <c r="N243" s="8" t="str">
        <f t="shared" si="21"/>
        <v>N+N</v>
      </c>
      <c r="O243">
        <v>0</v>
      </c>
      <c r="Q243" t="s">
        <v>511</v>
      </c>
    </row>
    <row r="244" spans="5:17" x14ac:dyDescent="0.3">
      <c r="E244" t="s">
        <v>471</v>
      </c>
      <c r="F244" t="s">
        <v>472</v>
      </c>
      <c r="G244" t="s">
        <v>326</v>
      </c>
      <c r="H244">
        <v>1</v>
      </c>
      <c r="I244">
        <v>3</v>
      </c>
      <c r="J244">
        <v>1</v>
      </c>
      <c r="K244" t="str">
        <f t="shared" si="22"/>
        <v>3/1</v>
      </c>
      <c r="L244" t="s">
        <v>19</v>
      </c>
      <c r="M244" t="s">
        <v>19</v>
      </c>
      <c r="N244" s="8" t="str">
        <f t="shared" si="21"/>
        <v>V+V</v>
      </c>
      <c r="O244">
        <v>0</v>
      </c>
      <c r="Q244" t="s">
        <v>512</v>
      </c>
    </row>
    <row r="245" spans="5:17" x14ac:dyDescent="0.3">
      <c r="E245" t="s">
        <v>473</v>
      </c>
      <c r="F245" t="s">
        <v>474</v>
      </c>
      <c r="G245" t="s">
        <v>475</v>
      </c>
      <c r="H245">
        <v>1</v>
      </c>
      <c r="I245">
        <v>2</v>
      </c>
      <c r="J245">
        <v>2</v>
      </c>
      <c r="K245" t="str">
        <f t="shared" si="22"/>
        <v>2/2</v>
      </c>
      <c r="L245" t="s">
        <v>101</v>
      </c>
      <c r="M245" t="s">
        <v>19</v>
      </c>
      <c r="N245" s="8" t="str">
        <f t="shared" si="21"/>
        <v>Adj+V</v>
      </c>
      <c r="O245">
        <v>2</v>
      </c>
      <c r="Q245" t="s">
        <v>511</v>
      </c>
    </row>
    <row r="246" spans="5:17" x14ac:dyDescent="0.3">
      <c r="E246" t="s">
        <v>476</v>
      </c>
      <c r="F246" t="s">
        <v>477</v>
      </c>
      <c r="G246" t="s">
        <v>478</v>
      </c>
      <c r="H246">
        <v>1</v>
      </c>
      <c r="I246">
        <v>2</v>
      </c>
      <c r="J246">
        <v>3</v>
      </c>
      <c r="K246" t="str">
        <f t="shared" si="22"/>
        <v>2/3</v>
      </c>
      <c r="L246" t="s">
        <v>19</v>
      </c>
      <c r="M246" t="s">
        <v>19</v>
      </c>
      <c r="N246" s="8" t="str">
        <f t="shared" si="21"/>
        <v>V+V</v>
      </c>
      <c r="O246">
        <v>0</v>
      </c>
      <c r="Q246" t="s">
        <v>512</v>
      </c>
    </row>
    <row r="247" spans="5:17" x14ac:dyDescent="0.3">
      <c r="E247" t="s">
        <v>477</v>
      </c>
      <c r="F247" t="s">
        <v>479</v>
      </c>
      <c r="G247" t="s">
        <v>326</v>
      </c>
      <c r="H247">
        <v>1</v>
      </c>
      <c r="I247">
        <v>3</v>
      </c>
      <c r="J247">
        <v>3</v>
      </c>
      <c r="K247" t="str">
        <f t="shared" si="22"/>
        <v>3/3</v>
      </c>
      <c r="L247" t="s">
        <v>19</v>
      </c>
      <c r="M247" t="s">
        <v>19</v>
      </c>
      <c r="N247" s="8" t="str">
        <f t="shared" si="21"/>
        <v>V+V</v>
      </c>
      <c r="O247">
        <v>0</v>
      </c>
      <c r="Q247" t="s">
        <v>512</v>
      </c>
    </row>
    <row r="248" spans="5:17" x14ac:dyDescent="0.3">
      <c r="E248" t="s">
        <v>479</v>
      </c>
      <c r="F248" t="s">
        <v>480</v>
      </c>
      <c r="G248" t="s">
        <v>326</v>
      </c>
      <c r="H248">
        <v>1</v>
      </c>
      <c r="I248">
        <v>3</v>
      </c>
      <c r="J248">
        <v>3</v>
      </c>
      <c r="K248" t="str">
        <f t="shared" si="22"/>
        <v>3/3</v>
      </c>
      <c r="L248" t="s">
        <v>19</v>
      </c>
      <c r="M248" t="s">
        <v>19</v>
      </c>
      <c r="N248" s="8" t="str">
        <f t="shared" si="21"/>
        <v>V+V</v>
      </c>
      <c r="O248">
        <v>0</v>
      </c>
      <c r="Q248" t="s">
        <v>512</v>
      </c>
    </row>
  </sheetData>
  <sortState xmlns:xlrd2="http://schemas.microsoft.com/office/spreadsheetml/2017/richdata2" ref="R45:S64">
    <sortCondition ref="R45:R64"/>
  </sortState>
  <mergeCells count="1">
    <mergeCell ref="R2:S2"/>
  </mergeCells>
  <phoneticPr fontId="1" type="noConversion"/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F4822-3B7A-4E0A-A83C-8C4DC53E1B73}">
  <dimension ref="D2:K16"/>
  <sheetViews>
    <sheetView workbookViewId="0">
      <selection activeCell="F16" sqref="F16"/>
    </sheetView>
  </sheetViews>
  <sheetFormatPr defaultRowHeight="14.4" x14ac:dyDescent="0.3"/>
  <cols>
    <col min="4" max="4" width="10.33203125" bestFit="1" customWidth="1"/>
  </cols>
  <sheetData>
    <row r="2" spans="4:11" x14ac:dyDescent="0.3">
      <c r="D2" s="2" t="s">
        <v>15</v>
      </c>
      <c r="E2">
        <v>0</v>
      </c>
    </row>
    <row r="3" spans="4:11" x14ac:dyDescent="0.3">
      <c r="D3" s="2" t="s">
        <v>46</v>
      </c>
      <c r="E3" t="s">
        <v>76</v>
      </c>
      <c r="F3" t="s">
        <v>481</v>
      </c>
    </row>
    <row r="4" spans="4:11" x14ac:dyDescent="0.3">
      <c r="D4" s="3" t="s">
        <v>81</v>
      </c>
      <c r="E4" t="s">
        <v>482</v>
      </c>
      <c r="F4" t="s">
        <v>95</v>
      </c>
      <c r="G4" t="s">
        <v>483</v>
      </c>
    </row>
    <row r="5" spans="4:11" x14ac:dyDescent="0.3">
      <c r="D5" s="2" t="s">
        <v>105</v>
      </c>
      <c r="E5" t="s">
        <v>106</v>
      </c>
      <c r="F5" t="s">
        <v>107</v>
      </c>
      <c r="G5" t="s">
        <v>107</v>
      </c>
      <c r="H5" t="s">
        <v>110</v>
      </c>
      <c r="I5" t="s">
        <v>112</v>
      </c>
      <c r="J5" t="s">
        <v>113</v>
      </c>
      <c r="K5" t="s">
        <v>484</v>
      </c>
    </row>
    <row r="6" spans="4:11" x14ac:dyDescent="0.3">
      <c r="D6" s="2" t="s">
        <v>129</v>
      </c>
      <c r="E6" t="s">
        <v>485</v>
      </c>
      <c r="F6" t="s">
        <v>344</v>
      </c>
      <c r="G6" t="s">
        <v>486</v>
      </c>
    </row>
    <row r="7" spans="4:11" x14ac:dyDescent="0.3">
      <c r="D7" s="2" t="s">
        <v>435</v>
      </c>
      <c r="E7" t="s">
        <v>487</v>
      </c>
      <c r="F7" t="s">
        <v>488</v>
      </c>
      <c r="G7" t="s">
        <v>489</v>
      </c>
      <c r="H7" t="s">
        <v>490</v>
      </c>
      <c r="I7" t="s">
        <v>491</v>
      </c>
      <c r="J7" t="s">
        <v>492</v>
      </c>
    </row>
    <row r="8" spans="4:11" x14ac:dyDescent="0.3">
      <c r="D8" s="2" t="s">
        <v>177</v>
      </c>
      <c r="E8" t="s">
        <v>493</v>
      </c>
      <c r="F8" t="s">
        <v>494</v>
      </c>
      <c r="G8" t="s">
        <v>495</v>
      </c>
    </row>
    <row r="9" spans="4:11" x14ac:dyDescent="0.3">
      <c r="D9" s="2" t="s">
        <v>208</v>
      </c>
      <c r="E9" t="s">
        <v>496</v>
      </c>
    </row>
    <row r="10" spans="4:11" x14ac:dyDescent="0.3">
      <c r="D10" s="2" t="s">
        <v>217</v>
      </c>
      <c r="E10" t="s">
        <v>497</v>
      </c>
      <c r="F10" t="s">
        <v>498</v>
      </c>
    </row>
    <row r="12" spans="4:11" x14ac:dyDescent="0.3">
      <c r="D12" s="6" t="s">
        <v>221</v>
      </c>
      <c r="E12">
        <v>0</v>
      </c>
    </row>
    <row r="13" spans="4:11" x14ac:dyDescent="0.3">
      <c r="D13" s="6" t="s">
        <v>250</v>
      </c>
      <c r="E13" t="s">
        <v>499</v>
      </c>
      <c r="F13" t="s">
        <v>500</v>
      </c>
      <c r="G13" t="s">
        <v>501</v>
      </c>
      <c r="H13" t="s">
        <v>502</v>
      </c>
    </row>
    <row r="14" spans="4:11" x14ac:dyDescent="0.3">
      <c r="D14" s="6" t="s">
        <v>503</v>
      </c>
    </row>
    <row r="15" spans="4:11" x14ac:dyDescent="0.3">
      <c r="D15" s="6" t="s">
        <v>295</v>
      </c>
      <c r="E15" t="s">
        <v>486</v>
      </c>
    </row>
    <row r="16" spans="4:11" x14ac:dyDescent="0.3">
      <c r="D16" s="6" t="s">
        <v>307</v>
      </c>
      <c r="E16" t="s">
        <v>504</v>
      </c>
      <c r="F16" t="s">
        <v>505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6F6A6-317D-49A5-87F1-F1980925E94C}">
  <dimension ref="G1:J6"/>
  <sheetViews>
    <sheetView workbookViewId="0">
      <selection activeCell="H3" sqref="H3"/>
    </sheetView>
  </sheetViews>
  <sheetFormatPr defaultRowHeight="14.4" x14ac:dyDescent="0.3"/>
  <cols>
    <col min="7" max="7" width="9" bestFit="1" customWidth="1"/>
  </cols>
  <sheetData>
    <row r="1" spans="7:10" x14ac:dyDescent="0.3">
      <c r="H1" t="s">
        <v>352</v>
      </c>
      <c r="I1" t="s">
        <v>81</v>
      </c>
      <c r="J1" t="s">
        <v>221</v>
      </c>
    </row>
    <row r="2" spans="7:10" x14ac:dyDescent="0.3">
      <c r="G2" t="s">
        <v>506</v>
      </c>
      <c r="H2">
        <f>MAX(O:O)</f>
        <v>0</v>
      </c>
    </row>
    <row r="3" spans="7:10" x14ac:dyDescent="0.3">
      <c r="G3" t="s">
        <v>507</v>
      </c>
    </row>
    <row r="4" spans="7:10" x14ac:dyDescent="0.3">
      <c r="G4" t="s">
        <v>508</v>
      </c>
    </row>
    <row r="5" spans="7:10" x14ac:dyDescent="0.3">
      <c r="G5" t="s">
        <v>509</v>
      </c>
    </row>
    <row r="6" spans="7:10" x14ac:dyDescent="0.3">
      <c r="G6" t="s">
        <v>510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Místecký Michal</dc:creator>
  <cp:keywords/>
  <dc:description/>
  <cp:lastModifiedBy>Polášková Karolína</cp:lastModifiedBy>
  <cp:revision/>
  <dcterms:created xsi:type="dcterms:W3CDTF">2024-04-16T10:40:16Z</dcterms:created>
  <dcterms:modified xsi:type="dcterms:W3CDTF">2024-06-20T22:13:24Z</dcterms:modified>
  <cp:category/>
  <cp:contentStatus/>
</cp:coreProperties>
</file>