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uka\Documents\Dokumenty\Majetná_Cassius\"/>
    </mc:Choice>
  </mc:AlternateContent>
  <xr:revisionPtr revIDLastSave="1117" documentId="8_{85F92265-ACF9-42C2-AE78-977609E04CDD}" xr6:coauthVersionLast="47" xr6:coauthVersionMax="47" xr10:uidLastSave="{F170BAA8-D4D6-4E3A-B5C8-69DB75411A09}"/>
  <bookViews>
    <workbookView xWindow="0" yWindow="0" windowWidth="23040" windowHeight="8076" tabRatio="813" firstSheet="17" activeTab="17" xr2:uid="{9DCED08E-7296-46F4-8D8F-DCDB7A228970}"/>
  </bookViews>
  <sheets>
    <sheet name="parametry" sheetId="2" r:id="rId1"/>
    <sheet name="Hory" sheetId="1" r:id="rId2"/>
    <sheet name="Zavolej" sheetId="3" r:id="rId3"/>
    <sheet name="Ještě_jaro" sheetId="4" r:id="rId4"/>
    <sheet name="Ženy_na_ohnici" sheetId="5" r:id="rId5"/>
    <sheet name="Větroplach" sheetId="6" r:id="rId6"/>
    <sheet name="Na_hřbitově" sheetId="7" r:id="rId7"/>
    <sheet name="Rekonvalescent" sheetId="8" r:id="rId8"/>
    <sheet name="Píseň_o_studni" sheetId="9" r:id="rId9"/>
    <sheet name="Spáči_mluví_ze_sna" sheetId="10" r:id="rId10"/>
    <sheet name="Kvetoucí_mohyla" sheetId="11" r:id="rId11"/>
    <sheet name="Slunovrat" sheetId="12" r:id="rId12"/>
    <sheet name="Hromnice_hoří" sheetId="13" r:id="rId13"/>
    <sheet name="metrum" sheetId="14" r:id="rId14"/>
    <sheet name="rozmer" sheetId="15" r:id="rId15"/>
    <sheet name="rymy" sheetId="16" r:id="rId16"/>
    <sheet name="nepresne_rymy" sheetId="17" r:id="rId17"/>
    <sheet name="bohate_rymy" sheetId="18" r:id="rId18"/>
  </sheets>
  <definedNames>
    <definedName name="_xlchart.v1.0" hidden="1">metrum!$R$21:$R$26</definedName>
    <definedName name="_xlchart.v1.1" hidden="1">metrum!$S$21:$S$26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6" l="1"/>
  <c r="AB17" i="18"/>
  <c r="AB16" i="18"/>
  <c r="AB15" i="18"/>
  <c r="AC4" i="18"/>
  <c r="AC5" i="18"/>
  <c r="AC3" i="18"/>
  <c r="J21" i="18"/>
  <c r="L21" i="18"/>
  <c r="P21" i="18"/>
  <c r="Q21" i="18"/>
  <c r="R21" i="18"/>
  <c r="T21" i="18"/>
  <c r="I21" i="18"/>
  <c r="W21" i="18" s="1"/>
  <c r="J20" i="18"/>
  <c r="L20" i="18"/>
  <c r="P20" i="18"/>
  <c r="Q20" i="18"/>
  <c r="R20" i="18"/>
  <c r="T20" i="18"/>
  <c r="I20" i="18"/>
  <c r="W20" i="18" s="1"/>
  <c r="J19" i="18"/>
  <c r="L19" i="18"/>
  <c r="P19" i="18"/>
  <c r="Q19" i="18"/>
  <c r="R19" i="18"/>
  <c r="T19" i="18"/>
  <c r="I19" i="18"/>
  <c r="W19" i="18" s="1"/>
  <c r="J18" i="18"/>
  <c r="L18" i="18"/>
  <c r="P18" i="18"/>
  <c r="Q18" i="18"/>
  <c r="R18" i="18"/>
  <c r="T18" i="18"/>
  <c r="I18" i="18"/>
  <c r="W18" i="18" s="1"/>
  <c r="J17" i="18"/>
  <c r="L17" i="18"/>
  <c r="P17" i="18"/>
  <c r="Q17" i="18"/>
  <c r="R17" i="18"/>
  <c r="T17" i="18"/>
  <c r="I17" i="18"/>
  <c r="W17" i="18" s="1"/>
  <c r="J16" i="18"/>
  <c r="L16" i="18"/>
  <c r="P16" i="18"/>
  <c r="Q16" i="18"/>
  <c r="R16" i="18"/>
  <c r="T16" i="18"/>
  <c r="I16" i="18"/>
  <c r="W16" i="18" s="1"/>
  <c r="T15" i="18"/>
  <c r="R15" i="18"/>
  <c r="Q15" i="18"/>
  <c r="P15" i="18"/>
  <c r="L15" i="18"/>
  <c r="J15" i="18"/>
  <c r="I15" i="18"/>
  <c r="W15" i="18" s="1"/>
  <c r="W3" i="16"/>
  <c r="T3" i="18"/>
  <c r="S3" i="18"/>
  <c r="R3" i="18"/>
  <c r="Q3" i="18"/>
  <c r="P3" i="18"/>
  <c r="N3" i="18"/>
  <c r="L3" i="18"/>
  <c r="K3" i="18"/>
  <c r="J3" i="18"/>
  <c r="I3" i="18"/>
  <c r="W3" i="18" s="1"/>
  <c r="J9" i="18"/>
  <c r="K9" i="18"/>
  <c r="L9" i="18"/>
  <c r="N9" i="18"/>
  <c r="P9" i="18"/>
  <c r="Q9" i="18"/>
  <c r="R9" i="18"/>
  <c r="S9" i="18"/>
  <c r="T9" i="18"/>
  <c r="I9" i="18"/>
  <c r="W9" i="18" s="1"/>
  <c r="J8" i="18"/>
  <c r="K8" i="18"/>
  <c r="L8" i="18"/>
  <c r="N8" i="18"/>
  <c r="P8" i="18"/>
  <c r="Q8" i="18"/>
  <c r="R8" i="18"/>
  <c r="S8" i="18"/>
  <c r="T8" i="18"/>
  <c r="I8" i="18"/>
  <c r="W8" i="18" s="1"/>
  <c r="J7" i="18"/>
  <c r="K7" i="18"/>
  <c r="L7" i="18"/>
  <c r="N7" i="18"/>
  <c r="P7" i="18"/>
  <c r="Q7" i="18"/>
  <c r="R7" i="18"/>
  <c r="S7" i="18"/>
  <c r="T7" i="18"/>
  <c r="I7" i="18"/>
  <c r="W7" i="18" s="1"/>
  <c r="AB4" i="18" s="1"/>
  <c r="J6" i="18"/>
  <c r="K6" i="18"/>
  <c r="L6" i="18"/>
  <c r="N6" i="18"/>
  <c r="P6" i="18"/>
  <c r="Q6" i="18"/>
  <c r="R6" i="18"/>
  <c r="S6" i="18"/>
  <c r="T6" i="18"/>
  <c r="I6" i="18"/>
  <c r="W6" i="18" s="1"/>
  <c r="J5" i="18"/>
  <c r="K5" i="18"/>
  <c r="L5" i="18"/>
  <c r="N5" i="18"/>
  <c r="P5" i="18"/>
  <c r="Q5" i="18"/>
  <c r="R5" i="18"/>
  <c r="S5" i="18"/>
  <c r="T5" i="18"/>
  <c r="I5" i="18"/>
  <c r="W5" i="18" s="1"/>
  <c r="J4" i="18"/>
  <c r="K4" i="18"/>
  <c r="L4" i="18"/>
  <c r="N4" i="18"/>
  <c r="P4" i="18"/>
  <c r="Q4" i="18"/>
  <c r="R4" i="18"/>
  <c r="S4" i="18"/>
  <c r="T4" i="18"/>
  <c r="I4" i="18"/>
  <c r="W4" i="18" s="1"/>
  <c r="AB5" i="18" s="1"/>
  <c r="AL10" i="13"/>
  <c r="AL11" i="13"/>
  <c r="AO10" i="13"/>
  <c r="AO11" i="13"/>
  <c r="AO12" i="13"/>
  <c r="AL12" i="13"/>
  <c r="AO15" i="11"/>
  <c r="AO16" i="11"/>
  <c r="AL15" i="11"/>
  <c r="AL16" i="11"/>
  <c r="AO17" i="11"/>
  <c r="AL17" i="11"/>
  <c r="AO14" i="10"/>
  <c r="AL14" i="10"/>
  <c r="AO13" i="10"/>
  <c r="AL13" i="10"/>
  <c r="AO12" i="10"/>
  <c r="AL12" i="10"/>
  <c r="AO11" i="9"/>
  <c r="AL11" i="9"/>
  <c r="AO10" i="9"/>
  <c r="AL10" i="9"/>
  <c r="AO14" i="5"/>
  <c r="AL14" i="5"/>
  <c r="AO16" i="3"/>
  <c r="AL16" i="3"/>
  <c r="AO14" i="1"/>
  <c r="AL14" i="1"/>
  <c r="AO10" i="11"/>
  <c r="AL10" i="11"/>
  <c r="AO5" i="9"/>
  <c r="AL5" i="9"/>
  <c r="AO5" i="13"/>
  <c r="AO4" i="13"/>
  <c r="AL5" i="13"/>
  <c r="AL4" i="13"/>
  <c r="AO9" i="12"/>
  <c r="AL9" i="12"/>
  <c r="AO9" i="11"/>
  <c r="AL9" i="11"/>
  <c r="AO5" i="10"/>
  <c r="AO6" i="10"/>
  <c r="AO4" i="10"/>
  <c r="AL5" i="10"/>
  <c r="AL6" i="10"/>
  <c r="AL4" i="10"/>
  <c r="AO4" i="9"/>
  <c r="AL4" i="9"/>
  <c r="AO9" i="5"/>
  <c r="AL9" i="5"/>
  <c r="AO10" i="7"/>
  <c r="AL10" i="7"/>
  <c r="AO9" i="7"/>
  <c r="AL9" i="7"/>
  <c r="AO5" i="4"/>
  <c r="AO4" i="4"/>
  <c r="AL5" i="4"/>
  <c r="AL4" i="4"/>
  <c r="AO11" i="3"/>
  <c r="AO10" i="3"/>
  <c r="AL11" i="3"/>
  <c r="AL10" i="3"/>
  <c r="AO9" i="1"/>
  <c r="AL9" i="1"/>
  <c r="O110" i="17"/>
  <c r="O109" i="17"/>
  <c r="O108" i="17"/>
  <c r="N110" i="17"/>
  <c r="N109" i="17"/>
  <c r="N108" i="17"/>
  <c r="J110" i="17"/>
  <c r="J109" i="17"/>
  <c r="J108" i="17"/>
  <c r="H110" i="17"/>
  <c r="H109" i="17"/>
  <c r="H108" i="17"/>
  <c r="F110" i="17"/>
  <c r="F109" i="17"/>
  <c r="F108" i="17"/>
  <c r="O68" i="17"/>
  <c r="O67" i="17"/>
  <c r="O66" i="17"/>
  <c r="O65" i="17"/>
  <c r="O64" i="17"/>
  <c r="O63" i="17"/>
  <c r="O62" i="17"/>
  <c r="O61" i="17"/>
  <c r="O60" i="17"/>
  <c r="O59" i="17"/>
  <c r="N68" i="17"/>
  <c r="N67" i="17"/>
  <c r="N66" i="17"/>
  <c r="N65" i="17"/>
  <c r="N64" i="17"/>
  <c r="N63" i="17"/>
  <c r="N62" i="17"/>
  <c r="N61" i="17"/>
  <c r="N60" i="17"/>
  <c r="N59" i="17"/>
  <c r="J68" i="17"/>
  <c r="J67" i="17"/>
  <c r="J66" i="17"/>
  <c r="J65" i="17"/>
  <c r="J64" i="17"/>
  <c r="J63" i="17"/>
  <c r="J62" i="17"/>
  <c r="J61" i="17"/>
  <c r="J60" i="17"/>
  <c r="J59" i="17"/>
  <c r="H68" i="17"/>
  <c r="H67" i="17"/>
  <c r="H66" i="17"/>
  <c r="H65" i="17"/>
  <c r="H64" i="17"/>
  <c r="H63" i="17"/>
  <c r="H62" i="17"/>
  <c r="H61" i="17"/>
  <c r="H60" i="17"/>
  <c r="H59" i="17"/>
  <c r="F68" i="17"/>
  <c r="F67" i="17"/>
  <c r="F66" i="17"/>
  <c r="F65" i="17"/>
  <c r="F64" i="17"/>
  <c r="F63" i="17"/>
  <c r="F62" i="17"/>
  <c r="F61" i="17"/>
  <c r="F60" i="17"/>
  <c r="F59" i="17"/>
  <c r="O37" i="17"/>
  <c r="O36" i="17"/>
  <c r="O35" i="17"/>
  <c r="O34" i="17"/>
  <c r="O33" i="17"/>
  <c r="O32" i="17"/>
  <c r="N37" i="17"/>
  <c r="N36" i="17"/>
  <c r="N35" i="17"/>
  <c r="N34" i="17"/>
  <c r="N33" i="17"/>
  <c r="N32" i="17"/>
  <c r="J37" i="17"/>
  <c r="J36" i="17"/>
  <c r="J35" i="17"/>
  <c r="J34" i="17"/>
  <c r="J33" i="17"/>
  <c r="J32" i="17"/>
  <c r="H37" i="17"/>
  <c r="H36" i="17"/>
  <c r="H35" i="17"/>
  <c r="H34" i="17"/>
  <c r="H33" i="17"/>
  <c r="H32" i="17"/>
  <c r="F37" i="17"/>
  <c r="F36" i="17"/>
  <c r="F35" i="17"/>
  <c r="F34" i="17"/>
  <c r="F33" i="17"/>
  <c r="F32" i="17"/>
  <c r="O26" i="17"/>
  <c r="O25" i="17"/>
  <c r="O24" i="17"/>
  <c r="O23" i="17"/>
  <c r="O22" i="17"/>
  <c r="N26" i="17"/>
  <c r="N25" i="17"/>
  <c r="N24" i="17"/>
  <c r="N23" i="17"/>
  <c r="N22" i="17"/>
  <c r="J26" i="17"/>
  <c r="J25" i="17"/>
  <c r="J24" i="17"/>
  <c r="J23" i="17"/>
  <c r="J22" i="17"/>
  <c r="H26" i="17"/>
  <c r="H25" i="17"/>
  <c r="H24" i="17"/>
  <c r="H23" i="17"/>
  <c r="H22" i="17"/>
  <c r="F26" i="17"/>
  <c r="F25" i="17"/>
  <c r="F24" i="17"/>
  <c r="F23" i="17"/>
  <c r="F22" i="17"/>
  <c r="O7" i="17"/>
  <c r="O15" i="17"/>
  <c r="O14" i="17"/>
  <c r="N15" i="17"/>
  <c r="N14" i="17"/>
  <c r="J15" i="17"/>
  <c r="J14" i="17"/>
  <c r="H15" i="17"/>
  <c r="H14" i="17"/>
  <c r="F15" i="17"/>
  <c r="F14" i="17"/>
  <c r="O6" i="17"/>
  <c r="N7" i="17"/>
  <c r="N6" i="17"/>
  <c r="J7" i="17"/>
  <c r="J6" i="17"/>
  <c r="H7" i="17"/>
  <c r="H6" i="17"/>
  <c r="F7" i="17"/>
  <c r="F6" i="17"/>
  <c r="B2" i="17"/>
  <c r="S110" i="17"/>
  <c r="S109" i="17"/>
  <c r="M108" i="17"/>
  <c r="L108" i="17"/>
  <c r="S108" i="17"/>
  <c r="P68" i="17"/>
  <c r="M68" i="17"/>
  <c r="L68" i="17"/>
  <c r="K68" i="17"/>
  <c r="I68" i="17"/>
  <c r="G68" i="17"/>
  <c r="E68" i="17"/>
  <c r="S68" i="17" s="1"/>
  <c r="P67" i="17"/>
  <c r="M67" i="17"/>
  <c r="L67" i="17"/>
  <c r="K67" i="17"/>
  <c r="I67" i="17"/>
  <c r="G67" i="17"/>
  <c r="E67" i="17"/>
  <c r="S67" i="17" s="1"/>
  <c r="P66" i="17"/>
  <c r="M66" i="17"/>
  <c r="L66" i="17"/>
  <c r="K66" i="17"/>
  <c r="I66" i="17"/>
  <c r="G66" i="17"/>
  <c r="E66" i="17"/>
  <c r="S66" i="17" s="1"/>
  <c r="P65" i="17"/>
  <c r="M65" i="17"/>
  <c r="L65" i="17"/>
  <c r="K65" i="17"/>
  <c r="I65" i="17"/>
  <c r="G65" i="17"/>
  <c r="E65" i="17"/>
  <c r="S65" i="17" s="1"/>
  <c r="M64" i="17"/>
  <c r="G64" i="17"/>
  <c r="S64" i="17"/>
  <c r="S63" i="17"/>
  <c r="P62" i="17"/>
  <c r="M62" i="17"/>
  <c r="L62" i="17"/>
  <c r="K62" i="17"/>
  <c r="I62" i="17"/>
  <c r="G62" i="17"/>
  <c r="E62" i="17"/>
  <c r="S62" i="17" s="1"/>
  <c r="P61" i="17"/>
  <c r="L61" i="17"/>
  <c r="K61" i="17"/>
  <c r="I61" i="17"/>
  <c r="S61" i="17"/>
  <c r="S60" i="17"/>
  <c r="S59" i="17"/>
  <c r="P37" i="17"/>
  <c r="M37" i="17"/>
  <c r="L37" i="17"/>
  <c r="K37" i="17"/>
  <c r="I37" i="17"/>
  <c r="G37" i="17"/>
  <c r="E37" i="17"/>
  <c r="S37" i="17" s="1"/>
  <c r="M36" i="17"/>
  <c r="L36" i="17"/>
  <c r="K36" i="17"/>
  <c r="G36" i="17"/>
  <c r="E36" i="17"/>
  <c r="S36" i="17" s="1"/>
  <c r="M35" i="17"/>
  <c r="G35" i="17"/>
  <c r="S35" i="17"/>
  <c r="S34" i="17"/>
  <c r="S33" i="17"/>
  <c r="S32" i="17"/>
  <c r="I26" i="17"/>
  <c r="E26" i="17"/>
  <c r="S26" i="17" s="1"/>
  <c r="I25" i="17"/>
  <c r="S25" i="17"/>
  <c r="I24" i="17"/>
  <c r="S24" i="17"/>
  <c r="S23" i="17"/>
  <c r="S22" i="17"/>
  <c r="S15" i="17"/>
  <c r="S14" i="17"/>
  <c r="S7" i="17"/>
  <c r="S6" i="17"/>
  <c r="P32" i="16"/>
  <c r="O32" i="16"/>
  <c r="N32" i="16"/>
  <c r="M32" i="16"/>
  <c r="L32" i="16"/>
  <c r="K32" i="16"/>
  <c r="J32" i="16"/>
  <c r="I32" i="16"/>
  <c r="H32" i="16"/>
  <c r="G32" i="16"/>
  <c r="F32" i="16"/>
  <c r="E32" i="16"/>
  <c r="E31" i="16"/>
  <c r="P31" i="16"/>
  <c r="O31" i="16"/>
  <c r="N31" i="16"/>
  <c r="M31" i="16"/>
  <c r="L31" i="16"/>
  <c r="K31" i="16"/>
  <c r="J31" i="16"/>
  <c r="I31" i="16"/>
  <c r="H31" i="16"/>
  <c r="G31" i="16"/>
  <c r="F31" i="16"/>
  <c r="AO4" i="11"/>
  <c r="AL4" i="11"/>
  <c r="AO4" i="7"/>
  <c r="AL4" i="7"/>
  <c r="AO4" i="5"/>
  <c r="AL4" i="5"/>
  <c r="AO5" i="3"/>
  <c r="AL5" i="3"/>
  <c r="AO4" i="3"/>
  <c r="AL4" i="3"/>
  <c r="AO4" i="12"/>
  <c r="AL4" i="12"/>
  <c r="P30" i="16"/>
  <c r="O30" i="16"/>
  <c r="N30" i="16"/>
  <c r="M30" i="16"/>
  <c r="L30" i="16"/>
  <c r="K30" i="16"/>
  <c r="J30" i="16"/>
  <c r="I30" i="16"/>
  <c r="H30" i="16"/>
  <c r="G30" i="16"/>
  <c r="F30" i="16"/>
  <c r="E30" i="16"/>
  <c r="P5" i="16"/>
  <c r="O5" i="16"/>
  <c r="N5" i="16"/>
  <c r="M5" i="16"/>
  <c r="L5" i="16"/>
  <c r="K5" i="16"/>
  <c r="J5" i="16"/>
  <c r="I5" i="16"/>
  <c r="H5" i="16"/>
  <c r="G5" i="16"/>
  <c r="F5" i="16"/>
  <c r="E5" i="16"/>
  <c r="O14" i="14"/>
  <c r="N14" i="14"/>
  <c r="M14" i="14"/>
  <c r="L14" i="14"/>
  <c r="K14" i="14"/>
  <c r="J14" i="14"/>
  <c r="I14" i="14"/>
  <c r="H14" i="14"/>
  <c r="G14" i="14"/>
  <c r="F14" i="14"/>
  <c r="E14" i="14"/>
  <c r="D14" i="14"/>
  <c r="D34" i="14" s="1"/>
  <c r="O13" i="14"/>
  <c r="N13" i="14"/>
  <c r="M13" i="14"/>
  <c r="L13" i="14"/>
  <c r="K13" i="14"/>
  <c r="J13" i="14"/>
  <c r="I13" i="14"/>
  <c r="H13" i="14"/>
  <c r="G13" i="14"/>
  <c r="F13" i="14"/>
  <c r="E13" i="14"/>
  <c r="D13" i="14"/>
  <c r="D33" i="14" s="1"/>
  <c r="D12" i="14"/>
  <c r="O8" i="14"/>
  <c r="N8" i="14"/>
  <c r="M8" i="14"/>
  <c r="L8" i="14"/>
  <c r="K8" i="14"/>
  <c r="J8" i="14"/>
  <c r="I8" i="14"/>
  <c r="H8" i="14"/>
  <c r="G8" i="14"/>
  <c r="F8" i="14"/>
  <c r="E8" i="14"/>
  <c r="D8" i="14"/>
  <c r="O7" i="14"/>
  <c r="N7" i="14"/>
  <c r="M7" i="14"/>
  <c r="L7" i="14"/>
  <c r="K7" i="14"/>
  <c r="J7" i="14"/>
  <c r="I7" i="14"/>
  <c r="H7" i="14"/>
  <c r="G7" i="14"/>
  <c r="F7" i="14"/>
  <c r="E7" i="14"/>
  <c r="D7" i="14"/>
  <c r="O6" i="14"/>
  <c r="N6" i="14"/>
  <c r="M6" i="14"/>
  <c r="L6" i="14"/>
  <c r="K6" i="14"/>
  <c r="J6" i="14"/>
  <c r="I6" i="14"/>
  <c r="H6" i="14"/>
  <c r="G6" i="14"/>
  <c r="F6" i="14"/>
  <c r="E6" i="14"/>
  <c r="D6" i="14"/>
  <c r="O5" i="14"/>
  <c r="N5" i="14"/>
  <c r="M5" i="14"/>
  <c r="L5" i="14"/>
  <c r="K5" i="14"/>
  <c r="J5" i="14"/>
  <c r="I5" i="14"/>
  <c r="H5" i="14"/>
  <c r="G5" i="14"/>
  <c r="F5" i="14"/>
  <c r="E5" i="14"/>
  <c r="D5" i="14"/>
  <c r="G5" i="3"/>
  <c r="I5" i="3"/>
  <c r="G6" i="3"/>
  <c r="H5" i="3" s="1"/>
  <c r="I6" i="3"/>
  <c r="G23" i="1"/>
  <c r="AB19" i="18" l="1"/>
  <c r="AB3" i="18"/>
  <c r="AB7" i="18" s="1"/>
  <c r="W23" i="18"/>
  <c r="E16" i="18" s="1"/>
  <c r="F16" i="18" s="1"/>
  <c r="W11" i="18"/>
  <c r="O53" i="17"/>
  <c r="O52" i="17"/>
  <c r="O51" i="17"/>
  <c r="O50" i="17"/>
  <c r="O49" i="17"/>
  <c r="O48" i="17"/>
  <c r="O47" i="17"/>
  <c r="O46" i="17"/>
  <c r="O45" i="17"/>
  <c r="O44" i="17"/>
  <c r="O43" i="17"/>
  <c r="O100" i="17"/>
  <c r="O99" i="17"/>
  <c r="O98" i="17"/>
  <c r="O96" i="17"/>
  <c r="O95" i="17"/>
  <c r="O94" i="17"/>
  <c r="O93" i="17"/>
  <c r="O92" i="17"/>
  <c r="O90" i="17"/>
  <c r="O89" i="17"/>
  <c r="O88" i="17"/>
  <c r="O87" i="17"/>
  <c r="O86" i="17"/>
  <c r="O84" i="17"/>
  <c r="O83" i="17"/>
  <c r="O82" i="17"/>
  <c r="O81" i="17"/>
  <c r="O80" i="17"/>
  <c r="O78" i="17"/>
  <c r="O77" i="17"/>
  <c r="O76" i="17"/>
  <c r="O75" i="17"/>
  <c r="O74" i="17"/>
  <c r="F53" i="17"/>
  <c r="F52" i="17"/>
  <c r="F51" i="17"/>
  <c r="F50" i="17"/>
  <c r="F49" i="17"/>
  <c r="F48" i="17"/>
  <c r="F47" i="17"/>
  <c r="F46" i="17"/>
  <c r="F45" i="17"/>
  <c r="F44" i="17"/>
  <c r="F43" i="17"/>
  <c r="F102" i="17"/>
  <c r="F101" i="17"/>
  <c r="F100" i="17"/>
  <c r="F99" i="17"/>
  <c r="F98" i="17"/>
  <c r="F96" i="17"/>
  <c r="F95" i="17"/>
  <c r="F94" i="17"/>
  <c r="F93" i="17"/>
  <c r="F92" i="17"/>
  <c r="F90" i="17"/>
  <c r="F89" i="17"/>
  <c r="F88" i="17"/>
  <c r="F87" i="17"/>
  <c r="F86" i="17"/>
  <c r="F84" i="17"/>
  <c r="F83" i="17"/>
  <c r="F82" i="17"/>
  <c r="F81" i="17"/>
  <c r="F80" i="17"/>
  <c r="F78" i="17"/>
  <c r="F77" i="17"/>
  <c r="F76" i="17"/>
  <c r="F75" i="17"/>
  <c r="F74" i="17"/>
  <c r="H53" i="17"/>
  <c r="H52" i="17"/>
  <c r="H51" i="17"/>
  <c r="H50" i="17"/>
  <c r="H49" i="17"/>
  <c r="H48" i="17"/>
  <c r="H47" i="17"/>
  <c r="H46" i="17"/>
  <c r="H45" i="17"/>
  <c r="H44" i="17"/>
  <c r="H43" i="17"/>
  <c r="H102" i="17"/>
  <c r="H101" i="17"/>
  <c r="H100" i="17"/>
  <c r="H99" i="17"/>
  <c r="H98" i="17"/>
  <c r="H96" i="17"/>
  <c r="H95" i="17"/>
  <c r="H94" i="17"/>
  <c r="H93" i="17"/>
  <c r="H92" i="17"/>
  <c r="H90" i="17"/>
  <c r="H89" i="17"/>
  <c r="H88" i="17"/>
  <c r="H87" i="17"/>
  <c r="H86" i="17"/>
  <c r="H84" i="17"/>
  <c r="H83" i="17"/>
  <c r="H82" i="17"/>
  <c r="H81" i="17"/>
  <c r="H80" i="17"/>
  <c r="H78" i="17"/>
  <c r="H77" i="17"/>
  <c r="H76" i="17"/>
  <c r="H75" i="17"/>
  <c r="H74" i="17"/>
  <c r="J53" i="17"/>
  <c r="J52" i="17"/>
  <c r="J51" i="17"/>
  <c r="J50" i="17"/>
  <c r="J49" i="17"/>
  <c r="J48" i="17"/>
  <c r="J47" i="17"/>
  <c r="J46" i="17"/>
  <c r="J45" i="17"/>
  <c r="J44" i="17"/>
  <c r="J43" i="17"/>
  <c r="J102" i="17"/>
  <c r="J101" i="17"/>
  <c r="J100" i="17"/>
  <c r="J99" i="17"/>
  <c r="J98" i="17"/>
  <c r="J96" i="17"/>
  <c r="J95" i="17"/>
  <c r="J94" i="17"/>
  <c r="J93" i="17"/>
  <c r="J92" i="17"/>
  <c r="J90" i="17"/>
  <c r="J89" i="17"/>
  <c r="J88" i="17"/>
  <c r="J87" i="17"/>
  <c r="J86" i="17"/>
  <c r="J84" i="17"/>
  <c r="J83" i="17"/>
  <c r="J82" i="17"/>
  <c r="J81" i="17"/>
  <c r="J80" i="17"/>
  <c r="J78" i="17"/>
  <c r="J77" i="17"/>
  <c r="J76" i="17"/>
  <c r="J75" i="17"/>
  <c r="J74" i="17"/>
  <c r="N53" i="17"/>
  <c r="N52" i="17"/>
  <c r="N51" i="17"/>
  <c r="N50" i="17"/>
  <c r="N49" i="17"/>
  <c r="N48" i="17"/>
  <c r="N47" i="17"/>
  <c r="N46" i="17"/>
  <c r="N45" i="17"/>
  <c r="N44" i="17"/>
  <c r="N43" i="17"/>
  <c r="N102" i="17"/>
  <c r="N101" i="17"/>
  <c r="N100" i="17"/>
  <c r="N99" i="17"/>
  <c r="N98" i="17"/>
  <c r="N96" i="17"/>
  <c r="N95" i="17"/>
  <c r="N94" i="17"/>
  <c r="N93" i="17"/>
  <c r="N92" i="17"/>
  <c r="N90" i="17"/>
  <c r="N89" i="17"/>
  <c r="N88" i="17"/>
  <c r="N87" i="17"/>
  <c r="N86" i="17"/>
  <c r="N84" i="17"/>
  <c r="N83" i="17"/>
  <c r="N82" i="17"/>
  <c r="N81" i="17"/>
  <c r="N80" i="17"/>
  <c r="N78" i="17"/>
  <c r="N77" i="17"/>
  <c r="N76" i="17"/>
  <c r="N75" i="17"/>
  <c r="N74" i="17"/>
  <c r="S31" i="16"/>
  <c r="S32" i="16"/>
  <c r="D20" i="14"/>
  <c r="D22" i="14"/>
  <c r="D19" i="14"/>
  <c r="D21" i="14"/>
  <c r="S10" i="17"/>
  <c r="T6" i="17"/>
  <c r="T7" i="17"/>
  <c r="S18" i="17"/>
  <c r="T14" i="17"/>
  <c r="T15" i="17"/>
  <c r="S28" i="17"/>
  <c r="T22" i="17"/>
  <c r="T23" i="17"/>
  <c r="T24" i="17"/>
  <c r="T25" i="17"/>
  <c r="T26" i="17"/>
  <c r="S39" i="17"/>
  <c r="T32" i="17"/>
  <c r="T33" i="17"/>
  <c r="T34" i="17"/>
  <c r="T35" i="17"/>
  <c r="T36" i="17"/>
  <c r="T37" i="17"/>
  <c r="S70" i="17"/>
  <c r="T59" i="17"/>
  <c r="T60" i="17"/>
  <c r="T61" i="17"/>
  <c r="T62" i="17"/>
  <c r="T63" i="17"/>
  <c r="T64" i="17"/>
  <c r="T65" i="17"/>
  <c r="T66" i="17"/>
  <c r="T67" i="17"/>
  <c r="T68" i="17"/>
  <c r="S112" i="17"/>
  <c r="T108" i="17"/>
  <c r="T109" i="17"/>
  <c r="T110" i="17"/>
  <c r="S30" i="16"/>
  <c r="P116" i="16"/>
  <c r="O116" i="16"/>
  <c r="N116" i="16"/>
  <c r="M116" i="16"/>
  <c r="L116" i="16"/>
  <c r="K116" i="16"/>
  <c r="J116" i="16"/>
  <c r="I116" i="16"/>
  <c r="H116" i="16"/>
  <c r="G116" i="16"/>
  <c r="F116" i="16"/>
  <c r="E116" i="16"/>
  <c r="P115" i="16"/>
  <c r="O115" i="16"/>
  <c r="N115" i="16"/>
  <c r="M115" i="16"/>
  <c r="L115" i="16"/>
  <c r="K115" i="16"/>
  <c r="J115" i="16"/>
  <c r="I115" i="16"/>
  <c r="H115" i="16"/>
  <c r="G115" i="16"/>
  <c r="F115" i="16"/>
  <c r="E115" i="16"/>
  <c r="P114" i="16"/>
  <c r="O114" i="16"/>
  <c r="N114" i="16"/>
  <c r="M114" i="16"/>
  <c r="L114" i="16"/>
  <c r="K114" i="16"/>
  <c r="J114" i="16"/>
  <c r="I114" i="16"/>
  <c r="H114" i="16"/>
  <c r="G114" i="16"/>
  <c r="F114" i="16"/>
  <c r="E114" i="16"/>
  <c r="P74" i="16"/>
  <c r="O74" i="16"/>
  <c r="N74" i="16"/>
  <c r="M74" i="16"/>
  <c r="L74" i="16"/>
  <c r="K74" i="16"/>
  <c r="J74" i="16"/>
  <c r="I74" i="16"/>
  <c r="H74" i="16"/>
  <c r="G74" i="16"/>
  <c r="F74" i="16"/>
  <c r="E74" i="16"/>
  <c r="P73" i="16"/>
  <c r="O73" i="16"/>
  <c r="N73" i="16"/>
  <c r="M73" i="16"/>
  <c r="L73" i="16"/>
  <c r="K73" i="16"/>
  <c r="J73" i="16"/>
  <c r="I73" i="16"/>
  <c r="H73" i="16"/>
  <c r="G73" i="16"/>
  <c r="F73" i="16"/>
  <c r="E73" i="16"/>
  <c r="P72" i="16"/>
  <c r="O72" i="16"/>
  <c r="N72" i="16"/>
  <c r="M72" i="16"/>
  <c r="L72" i="16"/>
  <c r="K72" i="16"/>
  <c r="J72" i="16"/>
  <c r="I72" i="16"/>
  <c r="H72" i="16"/>
  <c r="G72" i="16"/>
  <c r="F72" i="16"/>
  <c r="E72" i="16"/>
  <c r="P71" i="16"/>
  <c r="O71" i="16"/>
  <c r="N71" i="16"/>
  <c r="M71" i="16"/>
  <c r="L71" i="16"/>
  <c r="K71" i="16"/>
  <c r="J71" i="16"/>
  <c r="I71" i="16"/>
  <c r="H71" i="16"/>
  <c r="G71" i="16"/>
  <c r="F71" i="16"/>
  <c r="E71" i="16"/>
  <c r="P70" i="16"/>
  <c r="O70" i="16"/>
  <c r="N70" i="16"/>
  <c r="M70" i="16"/>
  <c r="L70" i="16"/>
  <c r="K70" i="16"/>
  <c r="J70" i="16"/>
  <c r="I70" i="16"/>
  <c r="H70" i="16"/>
  <c r="G70" i="16"/>
  <c r="F70" i="16"/>
  <c r="E70" i="16"/>
  <c r="P69" i="16"/>
  <c r="O69" i="16"/>
  <c r="N69" i="16"/>
  <c r="M69" i="16"/>
  <c r="L69" i="16"/>
  <c r="K69" i="16"/>
  <c r="J69" i="16"/>
  <c r="I69" i="16"/>
  <c r="H69" i="16"/>
  <c r="G69" i="16"/>
  <c r="F69" i="16"/>
  <c r="E69" i="16"/>
  <c r="P68" i="16"/>
  <c r="O68" i="16"/>
  <c r="N68" i="16"/>
  <c r="M68" i="16"/>
  <c r="L68" i="16"/>
  <c r="K68" i="16"/>
  <c r="J68" i="16"/>
  <c r="I68" i="16"/>
  <c r="H68" i="16"/>
  <c r="G68" i="16"/>
  <c r="F68" i="16"/>
  <c r="E68" i="16"/>
  <c r="P67" i="16"/>
  <c r="O67" i="16"/>
  <c r="N67" i="16"/>
  <c r="M67" i="16"/>
  <c r="L67" i="16"/>
  <c r="K67" i="16"/>
  <c r="J67" i="16"/>
  <c r="I67" i="16"/>
  <c r="H67" i="16"/>
  <c r="G67" i="16"/>
  <c r="F67" i="16"/>
  <c r="E67" i="16"/>
  <c r="P66" i="16"/>
  <c r="O66" i="16"/>
  <c r="N66" i="16"/>
  <c r="M66" i="16"/>
  <c r="L66" i="16"/>
  <c r="K66" i="16"/>
  <c r="J66" i="16"/>
  <c r="I66" i="16"/>
  <c r="H66" i="16"/>
  <c r="G66" i="16"/>
  <c r="F66" i="16"/>
  <c r="E66" i="16"/>
  <c r="P65" i="16"/>
  <c r="O65" i="16"/>
  <c r="N65" i="16"/>
  <c r="M65" i="16"/>
  <c r="L65" i="16"/>
  <c r="K65" i="16"/>
  <c r="J65" i="16"/>
  <c r="I65" i="16"/>
  <c r="H65" i="16"/>
  <c r="G65" i="16"/>
  <c r="F65" i="16"/>
  <c r="E65" i="16"/>
  <c r="P43" i="16"/>
  <c r="O43" i="16"/>
  <c r="N43" i="16"/>
  <c r="M43" i="16"/>
  <c r="L43" i="16"/>
  <c r="K43" i="16"/>
  <c r="J43" i="16"/>
  <c r="I43" i="16"/>
  <c r="H43" i="16"/>
  <c r="G43" i="16"/>
  <c r="F43" i="16"/>
  <c r="E43" i="16"/>
  <c r="P42" i="16"/>
  <c r="O42" i="16"/>
  <c r="N42" i="16"/>
  <c r="M42" i="16"/>
  <c r="L42" i="16"/>
  <c r="K42" i="16"/>
  <c r="J42" i="16"/>
  <c r="I42" i="16"/>
  <c r="H42" i="16"/>
  <c r="G42" i="16"/>
  <c r="F42" i="16"/>
  <c r="E42" i="16"/>
  <c r="P41" i="16"/>
  <c r="O41" i="16"/>
  <c r="N41" i="16"/>
  <c r="M41" i="16"/>
  <c r="L41" i="16"/>
  <c r="K41" i="16"/>
  <c r="J41" i="16"/>
  <c r="I41" i="16"/>
  <c r="H41" i="16"/>
  <c r="G41" i="16"/>
  <c r="F41" i="16"/>
  <c r="E41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P6" i="16"/>
  <c r="O6" i="16"/>
  <c r="N6" i="16"/>
  <c r="M6" i="16"/>
  <c r="L6" i="16"/>
  <c r="K6" i="16"/>
  <c r="J6" i="16"/>
  <c r="I6" i="16"/>
  <c r="H6" i="16"/>
  <c r="G6" i="16"/>
  <c r="F6" i="16"/>
  <c r="E6" i="16"/>
  <c r="P4" i="16"/>
  <c r="O4" i="16"/>
  <c r="N4" i="16"/>
  <c r="M4" i="16"/>
  <c r="L4" i="16"/>
  <c r="K4" i="16"/>
  <c r="J4" i="16"/>
  <c r="I4" i="16"/>
  <c r="H4" i="16"/>
  <c r="G4" i="16"/>
  <c r="F4" i="16"/>
  <c r="E4" i="16"/>
  <c r="O3" i="16"/>
  <c r="P3" i="16"/>
  <c r="N3" i="16"/>
  <c r="M3" i="16"/>
  <c r="E3" i="16"/>
  <c r="L3" i="16"/>
  <c r="K3" i="16"/>
  <c r="J3" i="16"/>
  <c r="I3" i="16"/>
  <c r="H3" i="16"/>
  <c r="G3" i="16"/>
  <c r="F3" i="16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3" i="13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3" i="13"/>
  <c r="X4" i="12"/>
  <c r="X5" i="12"/>
  <c r="X6" i="12"/>
  <c r="X8" i="12"/>
  <c r="X9" i="12"/>
  <c r="X10" i="12"/>
  <c r="X11" i="12"/>
  <c r="X12" i="12"/>
  <c r="X13" i="12"/>
  <c r="X14" i="12"/>
  <c r="X3" i="12"/>
  <c r="U4" i="12"/>
  <c r="U5" i="12"/>
  <c r="U6" i="12"/>
  <c r="U8" i="12"/>
  <c r="U9" i="12"/>
  <c r="U10" i="12"/>
  <c r="U11" i="12"/>
  <c r="U12" i="12"/>
  <c r="U13" i="12"/>
  <c r="U14" i="12"/>
  <c r="U3" i="12"/>
  <c r="X4" i="11"/>
  <c r="X5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3" i="11"/>
  <c r="U4" i="11"/>
  <c r="U5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3" i="11"/>
  <c r="X4" i="10"/>
  <c r="X5" i="10"/>
  <c r="X6" i="10"/>
  <c r="X7" i="10"/>
  <c r="X8" i="10"/>
  <c r="X9" i="10"/>
  <c r="X10" i="10"/>
  <c r="X11" i="10"/>
  <c r="X12" i="10"/>
  <c r="X3" i="10"/>
  <c r="U4" i="10"/>
  <c r="U5" i="10"/>
  <c r="U6" i="10"/>
  <c r="U7" i="10"/>
  <c r="U8" i="10"/>
  <c r="U9" i="10"/>
  <c r="U10" i="10"/>
  <c r="U11" i="10"/>
  <c r="U12" i="10"/>
  <c r="U3" i="10"/>
  <c r="X4" i="9"/>
  <c r="X5" i="9"/>
  <c r="X6" i="9"/>
  <c r="X7" i="9"/>
  <c r="X8" i="9"/>
  <c r="X9" i="9"/>
  <c r="X10" i="9"/>
  <c r="X11" i="9"/>
  <c r="X12" i="9"/>
  <c r="X3" i="9"/>
  <c r="U4" i="9"/>
  <c r="U5" i="9"/>
  <c r="U6" i="9"/>
  <c r="U7" i="9"/>
  <c r="U8" i="9"/>
  <c r="U9" i="9"/>
  <c r="U10" i="9"/>
  <c r="U11" i="9"/>
  <c r="U12" i="9"/>
  <c r="U3" i="9"/>
  <c r="X4" i="8"/>
  <c r="X5" i="8"/>
  <c r="X6" i="8"/>
  <c r="X7" i="8"/>
  <c r="X8" i="8"/>
  <c r="X9" i="8"/>
  <c r="X10" i="8"/>
  <c r="X11" i="8"/>
  <c r="X12" i="8"/>
  <c r="X3" i="8"/>
  <c r="U4" i="8"/>
  <c r="U5" i="8"/>
  <c r="U6" i="8"/>
  <c r="U7" i="8"/>
  <c r="U8" i="8"/>
  <c r="U9" i="8"/>
  <c r="U10" i="8"/>
  <c r="U11" i="8"/>
  <c r="U12" i="8"/>
  <c r="U3" i="8"/>
  <c r="K53" i="17" s="1"/>
  <c r="X4" i="7"/>
  <c r="X5" i="7"/>
  <c r="X7" i="7"/>
  <c r="X8" i="7"/>
  <c r="X9" i="7"/>
  <c r="X10" i="7"/>
  <c r="X11" i="7"/>
  <c r="X12" i="7"/>
  <c r="X13" i="7"/>
  <c r="X14" i="7"/>
  <c r="X15" i="7"/>
  <c r="X16" i="7"/>
  <c r="X17" i="7"/>
  <c r="X18" i="7"/>
  <c r="X3" i="7"/>
  <c r="U4" i="7"/>
  <c r="U5" i="7"/>
  <c r="U7" i="7"/>
  <c r="U8" i="7"/>
  <c r="U9" i="7"/>
  <c r="U10" i="7"/>
  <c r="U11" i="7"/>
  <c r="U12" i="7"/>
  <c r="U13" i="7"/>
  <c r="U14" i="7"/>
  <c r="U15" i="7"/>
  <c r="U16" i="7"/>
  <c r="U17" i="7"/>
  <c r="U18" i="7"/>
  <c r="U3" i="7"/>
  <c r="X4" i="6"/>
  <c r="X5" i="6"/>
  <c r="X6" i="6"/>
  <c r="X7" i="6"/>
  <c r="X8" i="6"/>
  <c r="X9" i="6"/>
  <c r="X10" i="6"/>
  <c r="X11" i="6"/>
  <c r="X12" i="6"/>
  <c r="X3" i="6"/>
  <c r="U4" i="6"/>
  <c r="U5" i="6"/>
  <c r="U6" i="6"/>
  <c r="U7" i="6"/>
  <c r="U8" i="6"/>
  <c r="U9" i="6"/>
  <c r="U10" i="6"/>
  <c r="U11" i="6"/>
  <c r="U12" i="6"/>
  <c r="U3" i="6"/>
  <c r="X4" i="5"/>
  <c r="X5" i="5"/>
  <c r="X6" i="5"/>
  <c r="X8" i="5"/>
  <c r="X9" i="5"/>
  <c r="X10" i="5"/>
  <c r="X11" i="5"/>
  <c r="X12" i="5"/>
  <c r="X13" i="5"/>
  <c r="X14" i="5"/>
  <c r="X15" i="5"/>
  <c r="X16" i="5"/>
  <c r="X3" i="5"/>
  <c r="U4" i="5"/>
  <c r="U5" i="5"/>
  <c r="U6" i="5"/>
  <c r="U8" i="5"/>
  <c r="U9" i="5"/>
  <c r="U10" i="5"/>
  <c r="U11" i="5"/>
  <c r="U12" i="5"/>
  <c r="U13" i="5"/>
  <c r="U14" i="5"/>
  <c r="U15" i="5"/>
  <c r="U16" i="5"/>
  <c r="U3" i="5"/>
  <c r="X4" i="4"/>
  <c r="X5" i="4"/>
  <c r="X6" i="4"/>
  <c r="X7" i="4"/>
  <c r="X8" i="4"/>
  <c r="X9" i="4"/>
  <c r="X10" i="4"/>
  <c r="X3" i="4"/>
  <c r="U4" i="4"/>
  <c r="U5" i="4"/>
  <c r="U6" i="4"/>
  <c r="U7" i="4"/>
  <c r="U8" i="4"/>
  <c r="U9" i="4"/>
  <c r="U10" i="4"/>
  <c r="U3" i="4"/>
  <c r="X7" i="3"/>
  <c r="X8" i="3"/>
  <c r="X9" i="3"/>
  <c r="X10" i="3"/>
  <c r="X11" i="3"/>
  <c r="X4" i="3"/>
  <c r="U7" i="3"/>
  <c r="U8" i="3"/>
  <c r="U9" i="3"/>
  <c r="U10" i="3"/>
  <c r="U11" i="3"/>
  <c r="U4" i="3"/>
  <c r="X5" i="1"/>
  <c r="X6" i="1"/>
  <c r="X7" i="1"/>
  <c r="X8" i="1"/>
  <c r="X9" i="1"/>
  <c r="X10" i="1"/>
  <c r="X11" i="1"/>
  <c r="X12" i="1"/>
  <c r="X13" i="1"/>
  <c r="X14" i="1"/>
  <c r="X15" i="1"/>
  <c r="U5" i="1"/>
  <c r="U6" i="1"/>
  <c r="U7" i="1"/>
  <c r="U8" i="1"/>
  <c r="U9" i="1"/>
  <c r="U10" i="1"/>
  <c r="U11" i="1"/>
  <c r="U12" i="1"/>
  <c r="U13" i="1"/>
  <c r="U14" i="1"/>
  <c r="U15" i="1"/>
  <c r="X4" i="1"/>
  <c r="U4" i="1"/>
  <c r="AC16" i="18" l="1"/>
  <c r="AC17" i="18"/>
  <c r="AC15" i="18"/>
  <c r="AB11" i="18"/>
  <c r="E4" i="18"/>
  <c r="F4" i="18" s="1"/>
  <c r="X16" i="18"/>
  <c r="X17" i="18"/>
  <c r="X18" i="18"/>
  <c r="X19" i="18"/>
  <c r="X20" i="18"/>
  <c r="X21" i="18"/>
  <c r="X15" i="18"/>
  <c r="X4" i="18"/>
  <c r="X5" i="18"/>
  <c r="X6" i="18"/>
  <c r="X7" i="18"/>
  <c r="X8" i="18"/>
  <c r="X9" i="18"/>
  <c r="X3" i="18"/>
  <c r="E102" i="17"/>
  <c r="E101" i="17"/>
  <c r="E100" i="17"/>
  <c r="E99" i="17"/>
  <c r="E98" i="17"/>
  <c r="E94" i="17"/>
  <c r="E93" i="17"/>
  <c r="E90" i="17"/>
  <c r="E89" i="17"/>
  <c r="E88" i="17"/>
  <c r="E87" i="17"/>
  <c r="E86" i="17"/>
  <c r="E84" i="17"/>
  <c r="E83" i="17"/>
  <c r="E81" i="17"/>
  <c r="E76" i="17"/>
  <c r="G53" i="17"/>
  <c r="G52" i="17"/>
  <c r="G51" i="17"/>
  <c r="G102" i="17"/>
  <c r="G101" i="17"/>
  <c r="G100" i="17"/>
  <c r="G99" i="17"/>
  <c r="G98" i="17"/>
  <c r="G96" i="17"/>
  <c r="G94" i="17"/>
  <c r="G93" i="17"/>
  <c r="G90" i="17"/>
  <c r="G88" i="17"/>
  <c r="G86" i="17"/>
  <c r="G84" i="17"/>
  <c r="G83" i="17"/>
  <c r="G82" i="17"/>
  <c r="G81" i="17"/>
  <c r="G78" i="17"/>
  <c r="G77" i="17"/>
  <c r="G76" i="17"/>
  <c r="G75" i="17"/>
  <c r="I53" i="17"/>
  <c r="I52" i="17"/>
  <c r="I51" i="17"/>
  <c r="I50" i="17"/>
  <c r="I100" i="17"/>
  <c r="I99" i="17"/>
  <c r="I98" i="17"/>
  <c r="I96" i="17"/>
  <c r="I94" i="17"/>
  <c r="I93" i="17"/>
  <c r="I92" i="17"/>
  <c r="I90" i="17"/>
  <c r="I89" i="17"/>
  <c r="I88" i="17"/>
  <c r="I87" i="17"/>
  <c r="I86" i="17"/>
  <c r="I84" i="17"/>
  <c r="I83" i="17"/>
  <c r="I82" i="17"/>
  <c r="I80" i="17"/>
  <c r="I78" i="17"/>
  <c r="I76" i="17"/>
  <c r="I75" i="17"/>
  <c r="K102" i="17"/>
  <c r="K101" i="17"/>
  <c r="K100" i="17"/>
  <c r="K99" i="17"/>
  <c r="K98" i="17"/>
  <c r="K95" i="17"/>
  <c r="K94" i="17"/>
  <c r="K90" i="17"/>
  <c r="K89" i="17"/>
  <c r="K88" i="17"/>
  <c r="K87" i="17"/>
  <c r="K86" i="17"/>
  <c r="K84" i="17"/>
  <c r="K83" i="17"/>
  <c r="K82" i="17"/>
  <c r="K81" i="17"/>
  <c r="K80" i="17"/>
  <c r="K78" i="17"/>
  <c r="K77" i="17"/>
  <c r="K76" i="17"/>
  <c r="L53" i="17"/>
  <c r="L49" i="17"/>
  <c r="L48" i="17"/>
  <c r="L47" i="17"/>
  <c r="L45" i="17"/>
  <c r="L44" i="17"/>
  <c r="L102" i="17"/>
  <c r="L101" i="17"/>
  <c r="L100" i="17"/>
  <c r="L99" i="17"/>
  <c r="L98" i="17"/>
  <c r="L96" i="17"/>
  <c r="L94" i="17"/>
  <c r="L93" i="17"/>
  <c r="L92" i="17"/>
  <c r="L90" i="17"/>
  <c r="L89" i="17"/>
  <c r="L88" i="17"/>
  <c r="L87" i="17"/>
  <c r="L86" i="17"/>
  <c r="L84" i="17"/>
  <c r="L82" i="17"/>
  <c r="L81" i="17"/>
  <c r="L80" i="17"/>
  <c r="L76" i="17"/>
  <c r="L75" i="17"/>
  <c r="M59" i="16"/>
  <c r="M53" i="17"/>
  <c r="M52" i="17"/>
  <c r="M51" i="17"/>
  <c r="M48" i="17"/>
  <c r="M47" i="17"/>
  <c r="M46" i="17"/>
  <c r="M45" i="17"/>
  <c r="M108" i="16"/>
  <c r="M102" i="17"/>
  <c r="M101" i="17"/>
  <c r="M100" i="17"/>
  <c r="M99" i="17"/>
  <c r="M98" i="17"/>
  <c r="M96" i="17"/>
  <c r="M94" i="17"/>
  <c r="M92" i="17"/>
  <c r="M90" i="17"/>
  <c r="M88" i="17"/>
  <c r="M87" i="17"/>
  <c r="M84" i="17"/>
  <c r="M83" i="17"/>
  <c r="M82" i="17"/>
  <c r="M81" i="17"/>
  <c r="M78" i="17"/>
  <c r="O101" i="17"/>
  <c r="O102" i="17"/>
  <c r="P53" i="17"/>
  <c r="P52" i="17"/>
  <c r="P49" i="17"/>
  <c r="P48" i="17"/>
  <c r="P102" i="17"/>
  <c r="P101" i="17"/>
  <c r="P100" i="17"/>
  <c r="P99" i="17"/>
  <c r="P96" i="17"/>
  <c r="P94" i="17"/>
  <c r="P92" i="17"/>
  <c r="P90" i="17"/>
  <c r="P89" i="17"/>
  <c r="P88" i="17"/>
  <c r="P87" i="17"/>
  <c r="P86" i="17"/>
  <c r="P84" i="17"/>
  <c r="P82" i="17"/>
  <c r="P78" i="17"/>
  <c r="P76" i="17"/>
  <c r="S74" i="17"/>
  <c r="S75" i="17"/>
  <c r="S77" i="17"/>
  <c r="S78" i="17"/>
  <c r="S80" i="17"/>
  <c r="S82" i="17"/>
  <c r="S92" i="17"/>
  <c r="S95" i="17"/>
  <c r="S96" i="17"/>
  <c r="S43" i="17"/>
  <c r="S44" i="17"/>
  <c r="S45" i="17"/>
  <c r="S46" i="17"/>
  <c r="S47" i="17"/>
  <c r="S48" i="17"/>
  <c r="S49" i="17"/>
  <c r="S50" i="17"/>
  <c r="S51" i="17"/>
  <c r="S52" i="17"/>
  <c r="S53" i="17"/>
  <c r="E59" i="16"/>
  <c r="E58" i="16"/>
  <c r="E57" i="16"/>
  <c r="E56" i="16"/>
  <c r="E55" i="16"/>
  <c r="E54" i="16"/>
  <c r="E53" i="16"/>
  <c r="E52" i="16"/>
  <c r="E51" i="16"/>
  <c r="E50" i="16"/>
  <c r="E49" i="16"/>
  <c r="E108" i="16"/>
  <c r="E107" i="16"/>
  <c r="E106" i="16"/>
  <c r="E105" i="16"/>
  <c r="E104" i="16"/>
  <c r="E102" i="16"/>
  <c r="E101" i="16"/>
  <c r="E100" i="16"/>
  <c r="E99" i="16"/>
  <c r="E98" i="16"/>
  <c r="E96" i="16"/>
  <c r="E95" i="16"/>
  <c r="E94" i="16"/>
  <c r="E93" i="16"/>
  <c r="E92" i="16"/>
  <c r="E90" i="16"/>
  <c r="E89" i="16"/>
  <c r="E88" i="16"/>
  <c r="E87" i="16"/>
  <c r="E86" i="16"/>
  <c r="E84" i="16"/>
  <c r="E83" i="16"/>
  <c r="E82" i="16"/>
  <c r="E81" i="16"/>
  <c r="E80" i="16"/>
  <c r="F59" i="16"/>
  <c r="F58" i="16"/>
  <c r="F57" i="16"/>
  <c r="F56" i="16"/>
  <c r="F55" i="16"/>
  <c r="F54" i="16"/>
  <c r="F53" i="16"/>
  <c r="F52" i="16"/>
  <c r="F51" i="16"/>
  <c r="F50" i="16"/>
  <c r="F49" i="16"/>
  <c r="F108" i="16"/>
  <c r="F107" i="16"/>
  <c r="F106" i="16"/>
  <c r="F105" i="16"/>
  <c r="F104" i="16"/>
  <c r="F102" i="16"/>
  <c r="F101" i="16"/>
  <c r="F100" i="16"/>
  <c r="F99" i="16"/>
  <c r="F98" i="16"/>
  <c r="F96" i="16"/>
  <c r="F95" i="16"/>
  <c r="F94" i="16"/>
  <c r="F93" i="16"/>
  <c r="F92" i="16"/>
  <c r="F90" i="16"/>
  <c r="F89" i="16"/>
  <c r="F88" i="16"/>
  <c r="F87" i="16"/>
  <c r="F86" i="16"/>
  <c r="F84" i="16"/>
  <c r="F83" i="16"/>
  <c r="F82" i="16"/>
  <c r="F81" i="16"/>
  <c r="F80" i="16"/>
  <c r="G59" i="16"/>
  <c r="G58" i="16"/>
  <c r="G57" i="16"/>
  <c r="G56" i="16"/>
  <c r="G55" i="16"/>
  <c r="G54" i="16"/>
  <c r="G53" i="16"/>
  <c r="G52" i="16"/>
  <c r="G51" i="16"/>
  <c r="G50" i="16"/>
  <c r="G49" i="16"/>
  <c r="G108" i="16"/>
  <c r="G107" i="16"/>
  <c r="G106" i="16"/>
  <c r="G105" i="16"/>
  <c r="G104" i="16"/>
  <c r="G102" i="16"/>
  <c r="G101" i="16"/>
  <c r="G100" i="16"/>
  <c r="G99" i="16"/>
  <c r="G98" i="16"/>
  <c r="G96" i="16"/>
  <c r="G95" i="16"/>
  <c r="G94" i="16"/>
  <c r="G93" i="16"/>
  <c r="G92" i="16"/>
  <c r="G90" i="16"/>
  <c r="G89" i="16"/>
  <c r="G88" i="16"/>
  <c r="G87" i="16"/>
  <c r="G86" i="16"/>
  <c r="G84" i="16"/>
  <c r="G83" i="16"/>
  <c r="G82" i="16"/>
  <c r="G81" i="16"/>
  <c r="G80" i="16"/>
  <c r="H59" i="16"/>
  <c r="H58" i="16"/>
  <c r="H57" i="16"/>
  <c r="H56" i="16"/>
  <c r="H55" i="16"/>
  <c r="H54" i="16"/>
  <c r="H53" i="16"/>
  <c r="H52" i="16"/>
  <c r="H51" i="16"/>
  <c r="H50" i="16"/>
  <c r="H49" i="16"/>
  <c r="H108" i="16"/>
  <c r="H107" i="16"/>
  <c r="H106" i="16"/>
  <c r="H105" i="16"/>
  <c r="H104" i="16"/>
  <c r="H102" i="16"/>
  <c r="H101" i="16"/>
  <c r="H100" i="16"/>
  <c r="H99" i="16"/>
  <c r="H98" i="16"/>
  <c r="H96" i="16"/>
  <c r="H95" i="16"/>
  <c r="H94" i="16"/>
  <c r="H93" i="16"/>
  <c r="H92" i="16"/>
  <c r="H90" i="16"/>
  <c r="H89" i="16"/>
  <c r="H88" i="16"/>
  <c r="H87" i="16"/>
  <c r="H86" i="16"/>
  <c r="H84" i="16"/>
  <c r="H83" i="16"/>
  <c r="H82" i="16"/>
  <c r="H81" i="16"/>
  <c r="H80" i="16"/>
  <c r="I59" i="16"/>
  <c r="I58" i="16"/>
  <c r="I57" i="16"/>
  <c r="I56" i="16"/>
  <c r="I55" i="16"/>
  <c r="I54" i="16"/>
  <c r="I53" i="16"/>
  <c r="I52" i="16"/>
  <c r="I51" i="16"/>
  <c r="I50" i="16"/>
  <c r="I49" i="16"/>
  <c r="I108" i="16"/>
  <c r="I107" i="16"/>
  <c r="I106" i="16"/>
  <c r="I105" i="16"/>
  <c r="I104" i="16"/>
  <c r="I102" i="16"/>
  <c r="I101" i="16"/>
  <c r="I100" i="16"/>
  <c r="I99" i="16"/>
  <c r="I98" i="16"/>
  <c r="I96" i="16"/>
  <c r="I95" i="16"/>
  <c r="I94" i="16"/>
  <c r="I93" i="16"/>
  <c r="I92" i="16"/>
  <c r="I90" i="16"/>
  <c r="I89" i="16"/>
  <c r="I88" i="16"/>
  <c r="I87" i="16"/>
  <c r="I86" i="16"/>
  <c r="I84" i="16"/>
  <c r="I83" i="16"/>
  <c r="I82" i="16"/>
  <c r="I81" i="16"/>
  <c r="I80" i="16"/>
  <c r="J59" i="16"/>
  <c r="J58" i="16"/>
  <c r="J57" i="16"/>
  <c r="J56" i="16"/>
  <c r="J55" i="16"/>
  <c r="J54" i="16"/>
  <c r="J53" i="16"/>
  <c r="J52" i="16"/>
  <c r="J51" i="16"/>
  <c r="J50" i="16"/>
  <c r="J49" i="16"/>
  <c r="J108" i="16"/>
  <c r="J107" i="16"/>
  <c r="J106" i="16"/>
  <c r="J105" i="16"/>
  <c r="J104" i="16"/>
  <c r="J102" i="16"/>
  <c r="J101" i="16"/>
  <c r="J100" i="16"/>
  <c r="J99" i="16"/>
  <c r="J98" i="16"/>
  <c r="J96" i="16"/>
  <c r="J95" i="16"/>
  <c r="J94" i="16"/>
  <c r="J93" i="16"/>
  <c r="J92" i="16"/>
  <c r="J90" i="16"/>
  <c r="J89" i="16"/>
  <c r="J88" i="16"/>
  <c r="J87" i="16"/>
  <c r="J86" i="16"/>
  <c r="J84" i="16"/>
  <c r="J83" i="16"/>
  <c r="J82" i="16"/>
  <c r="J81" i="16"/>
  <c r="J80" i="16"/>
  <c r="K59" i="16"/>
  <c r="K58" i="16"/>
  <c r="K57" i="16"/>
  <c r="K56" i="16"/>
  <c r="K55" i="16"/>
  <c r="K54" i="16"/>
  <c r="K53" i="16"/>
  <c r="K52" i="16"/>
  <c r="K51" i="16"/>
  <c r="K50" i="16"/>
  <c r="K49" i="16"/>
  <c r="K108" i="16"/>
  <c r="K107" i="16"/>
  <c r="K106" i="16"/>
  <c r="K105" i="16"/>
  <c r="K104" i="16"/>
  <c r="K102" i="16"/>
  <c r="K101" i="16"/>
  <c r="K100" i="16"/>
  <c r="K99" i="16"/>
  <c r="K98" i="16"/>
  <c r="K96" i="16"/>
  <c r="K95" i="16"/>
  <c r="K94" i="16"/>
  <c r="K93" i="16"/>
  <c r="K92" i="16"/>
  <c r="K90" i="16"/>
  <c r="K89" i="16"/>
  <c r="K88" i="16"/>
  <c r="K87" i="16"/>
  <c r="K86" i="16"/>
  <c r="K84" i="16"/>
  <c r="K83" i="16"/>
  <c r="K82" i="16"/>
  <c r="K81" i="16"/>
  <c r="K80" i="16"/>
  <c r="L59" i="16"/>
  <c r="L58" i="16"/>
  <c r="L57" i="16"/>
  <c r="L56" i="16"/>
  <c r="L55" i="16"/>
  <c r="L54" i="16"/>
  <c r="L53" i="16"/>
  <c r="L52" i="16"/>
  <c r="L51" i="16"/>
  <c r="L50" i="16"/>
  <c r="L49" i="16"/>
  <c r="L108" i="16"/>
  <c r="L107" i="16"/>
  <c r="L106" i="16"/>
  <c r="L105" i="16"/>
  <c r="L104" i="16"/>
  <c r="L102" i="16"/>
  <c r="L101" i="16"/>
  <c r="L100" i="16"/>
  <c r="L99" i="16"/>
  <c r="L98" i="16"/>
  <c r="L96" i="16"/>
  <c r="L95" i="16"/>
  <c r="L94" i="16"/>
  <c r="L93" i="16"/>
  <c r="L92" i="16"/>
  <c r="L90" i="16"/>
  <c r="L89" i="16"/>
  <c r="L88" i="16"/>
  <c r="L87" i="16"/>
  <c r="L86" i="16"/>
  <c r="L84" i="16"/>
  <c r="L83" i="16"/>
  <c r="L82" i="16"/>
  <c r="L81" i="16"/>
  <c r="L80" i="16"/>
  <c r="N59" i="16"/>
  <c r="N58" i="16"/>
  <c r="N57" i="16"/>
  <c r="N56" i="16"/>
  <c r="N55" i="16"/>
  <c r="N54" i="16"/>
  <c r="N53" i="16"/>
  <c r="N52" i="16"/>
  <c r="N51" i="16"/>
  <c r="N50" i="16"/>
  <c r="N49" i="16"/>
  <c r="N108" i="16"/>
  <c r="N107" i="16"/>
  <c r="N106" i="16"/>
  <c r="N105" i="16"/>
  <c r="N104" i="16"/>
  <c r="N102" i="16"/>
  <c r="N101" i="16"/>
  <c r="N100" i="16"/>
  <c r="N99" i="16"/>
  <c r="N98" i="16"/>
  <c r="N96" i="16"/>
  <c r="N95" i="16"/>
  <c r="N94" i="16"/>
  <c r="N93" i="16"/>
  <c r="N92" i="16"/>
  <c r="N90" i="16"/>
  <c r="N89" i="16"/>
  <c r="N88" i="16"/>
  <c r="N87" i="16"/>
  <c r="N86" i="16"/>
  <c r="N84" i="16"/>
  <c r="N83" i="16"/>
  <c r="N82" i="16"/>
  <c r="N81" i="16"/>
  <c r="N80" i="16"/>
  <c r="O59" i="16"/>
  <c r="O58" i="16"/>
  <c r="O57" i="16"/>
  <c r="O56" i="16"/>
  <c r="O55" i="16"/>
  <c r="O54" i="16"/>
  <c r="O53" i="16"/>
  <c r="O52" i="16"/>
  <c r="O51" i="16"/>
  <c r="O50" i="16"/>
  <c r="O49" i="16"/>
  <c r="O108" i="16"/>
  <c r="O107" i="16"/>
  <c r="O106" i="16"/>
  <c r="O105" i="16"/>
  <c r="O104" i="16"/>
  <c r="O102" i="16"/>
  <c r="O101" i="16"/>
  <c r="O100" i="16"/>
  <c r="O99" i="16"/>
  <c r="O98" i="16"/>
  <c r="O96" i="16"/>
  <c r="O95" i="16"/>
  <c r="O94" i="16"/>
  <c r="O93" i="16"/>
  <c r="O92" i="16"/>
  <c r="O90" i="16"/>
  <c r="O89" i="16"/>
  <c r="O88" i="16"/>
  <c r="O87" i="16"/>
  <c r="O86" i="16"/>
  <c r="O84" i="16"/>
  <c r="O83" i="16"/>
  <c r="O82" i="16"/>
  <c r="O81" i="16"/>
  <c r="O80" i="16"/>
  <c r="P59" i="16"/>
  <c r="P58" i="16"/>
  <c r="P57" i="16"/>
  <c r="P56" i="16"/>
  <c r="P55" i="16"/>
  <c r="P54" i="16"/>
  <c r="P53" i="16"/>
  <c r="P52" i="16"/>
  <c r="P51" i="16"/>
  <c r="P50" i="16"/>
  <c r="P49" i="16"/>
  <c r="P108" i="16"/>
  <c r="P107" i="16"/>
  <c r="P106" i="16"/>
  <c r="P105" i="16"/>
  <c r="P104" i="16"/>
  <c r="P102" i="16"/>
  <c r="P101" i="16"/>
  <c r="P100" i="16"/>
  <c r="P99" i="16"/>
  <c r="P98" i="16"/>
  <c r="P96" i="16"/>
  <c r="P95" i="16"/>
  <c r="P94" i="16"/>
  <c r="P93" i="16"/>
  <c r="P92" i="16"/>
  <c r="P90" i="16"/>
  <c r="P89" i="16"/>
  <c r="P88" i="16"/>
  <c r="P87" i="16"/>
  <c r="P86" i="16"/>
  <c r="P84" i="16"/>
  <c r="P83" i="16"/>
  <c r="P82" i="16"/>
  <c r="P81" i="16"/>
  <c r="P80" i="16"/>
  <c r="M49" i="16"/>
  <c r="M50" i="16"/>
  <c r="M51" i="16"/>
  <c r="M52" i="16"/>
  <c r="M53" i="16"/>
  <c r="M54" i="16"/>
  <c r="M55" i="16"/>
  <c r="S55" i="16" s="1"/>
  <c r="M56" i="16"/>
  <c r="M57" i="16"/>
  <c r="M58" i="16"/>
  <c r="M80" i="16"/>
  <c r="M81" i="16"/>
  <c r="M82" i="16"/>
  <c r="M83" i="16"/>
  <c r="S83" i="16" s="1"/>
  <c r="M84" i="16"/>
  <c r="M86" i="16"/>
  <c r="M87" i="16"/>
  <c r="M88" i="16"/>
  <c r="M89" i="16"/>
  <c r="M90" i="16"/>
  <c r="M92" i="16"/>
  <c r="M93" i="16"/>
  <c r="S93" i="16" s="1"/>
  <c r="M94" i="16"/>
  <c r="M95" i="16"/>
  <c r="M96" i="16"/>
  <c r="M98" i="16"/>
  <c r="M99" i="16"/>
  <c r="M100" i="16"/>
  <c r="M101" i="16"/>
  <c r="M102" i="16"/>
  <c r="S102" i="16" s="1"/>
  <c r="M104" i="16"/>
  <c r="M105" i="16"/>
  <c r="S105" i="16" s="1"/>
  <c r="M106" i="16"/>
  <c r="M107" i="16"/>
  <c r="S114" i="16"/>
  <c r="S115" i="16"/>
  <c r="S116" i="16"/>
  <c r="S12" i="16"/>
  <c r="S20" i="16"/>
  <c r="S21" i="16"/>
  <c r="S24" i="16" s="1"/>
  <c r="S28" i="16"/>
  <c r="S29" i="16"/>
  <c r="S38" i="16"/>
  <c r="S43" i="16"/>
  <c r="S54" i="16"/>
  <c r="S59" i="16"/>
  <c r="S65" i="16"/>
  <c r="S73" i="16"/>
  <c r="S74" i="16"/>
  <c r="S39" i="16"/>
  <c r="S42" i="16"/>
  <c r="S66" i="16"/>
  <c r="S71" i="16"/>
  <c r="S50" i="16"/>
  <c r="S13" i="16"/>
  <c r="S68" i="16"/>
  <c r="S72" i="16"/>
  <c r="S82" i="16"/>
  <c r="S88" i="16"/>
  <c r="S41" i="16"/>
  <c r="S69" i="16"/>
  <c r="S40" i="16"/>
  <c r="S67" i="16"/>
  <c r="S70" i="16"/>
  <c r="S87" i="16"/>
  <c r="W86" i="16" s="1"/>
  <c r="S4" i="16"/>
  <c r="S3" i="16"/>
  <c r="S6" i="16"/>
  <c r="S5" i="16"/>
  <c r="H19" i="3"/>
  <c r="H20" i="3"/>
  <c r="G4" i="13"/>
  <c r="G5" i="13"/>
  <c r="I5" i="13" s="1"/>
  <c r="G6" i="13"/>
  <c r="I6" i="13" s="1"/>
  <c r="I7" i="13"/>
  <c r="G8" i="13"/>
  <c r="I8" i="13" s="1"/>
  <c r="I9" i="13"/>
  <c r="G10" i="13"/>
  <c r="G11" i="13"/>
  <c r="I11" i="13" s="1"/>
  <c r="G12" i="13"/>
  <c r="G13" i="13"/>
  <c r="G15" i="13"/>
  <c r="H15" i="13" s="1"/>
  <c r="G16" i="13"/>
  <c r="I16" i="13" s="1"/>
  <c r="G17" i="13"/>
  <c r="I17" i="13" s="1"/>
  <c r="G18" i="13"/>
  <c r="I18" i="13" s="1"/>
  <c r="I19" i="13"/>
  <c r="I20" i="13"/>
  <c r="G21" i="13"/>
  <c r="I21" i="13" s="1"/>
  <c r="G22" i="13"/>
  <c r="G23" i="13"/>
  <c r="I23" i="13" s="1"/>
  <c r="G24" i="13"/>
  <c r="G25" i="13"/>
  <c r="G27" i="13"/>
  <c r="H27" i="13" s="1"/>
  <c r="G28" i="13"/>
  <c r="I28" i="13" s="1"/>
  <c r="G29" i="13"/>
  <c r="I29" i="13" s="1"/>
  <c r="G30" i="13"/>
  <c r="I30" i="13" s="1"/>
  <c r="G31" i="13"/>
  <c r="I31" i="13" s="1"/>
  <c r="G32" i="13"/>
  <c r="I32" i="13" s="1"/>
  <c r="I33" i="13"/>
  <c r="G34" i="13"/>
  <c r="G35" i="13"/>
  <c r="I35" i="13" s="1"/>
  <c r="G36" i="13"/>
  <c r="G37" i="13"/>
  <c r="G38" i="13"/>
  <c r="G39" i="13"/>
  <c r="H39" i="13" s="1"/>
  <c r="G40" i="13"/>
  <c r="I40" i="13" s="1"/>
  <c r="O6" i="15"/>
  <c r="I4" i="12"/>
  <c r="G6" i="12"/>
  <c r="I6" i="12" s="1"/>
  <c r="I7" i="12"/>
  <c r="G8" i="12"/>
  <c r="G9" i="12"/>
  <c r="I9" i="12" s="1"/>
  <c r="G10" i="12"/>
  <c r="G11" i="12"/>
  <c r="G12" i="12"/>
  <c r="G13" i="12"/>
  <c r="H13" i="12" s="1"/>
  <c r="G14" i="12"/>
  <c r="I14" i="12" s="1"/>
  <c r="I15" i="12"/>
  <c r="G16" i="12"/>
  <c r="I16" i="12" s="1"/>
  <c r="G17" i="12"/>
  <c r="I17" i="12" s="1"/>
  <c r="G18" i="12"/>
  <c r="I18" i="12" s="1"/>
  <c r="G19" i="12"/>
  <c r="G20" i="12"/>
  <c r="G21" i="12"/>
  <c r="G22" i="12"/>
  <c r="G23" i="12"/>
  <c r="G24" i="12"/>
  <c r="G25" i="12"/>
  <c r="H25" i="12" s="1"/>
  <c r="G26" i="12"/>
  <c r="I26" i="12" s="1"/>
  <c r="G3" i="12"/>
  <c r="I4" i="11"/>
  <c r="G6" i="11"/>
  <c r="I6" i="11" s="1"/>
  <c r="I7" i="11"/>
  <c r="G8" i="11"/>
  <c r="G9" i="11"/>
  <c r="I9" i="11" s="1"/>
  <c r="G10" i="11"/>
  <c r="H10" i="11" s="1"/>
  <c r="I10" i="11" s="1"/>
  <c r="G12" i="11"/>
  <c r="G13" i="11"/>
  <c r="H13" i="11" s="1"/>
  <c r="G14" i="11"/>
  <c r="I14" i="11" s="1"/>
  <c r="G15" i="11"/>
  <c r="I15" i="11" s="1"/>
  <c r="G16" i="11"/>
  <c r="I16" i="11" s="1"/>
  <c r="I17" i="11"/>
  <c r="G18" i="11"/>
  <c r="I18" i="11" s="1"/>
  <c r="G19" i="11"/>
  <c r="I19" i="11" s="1"/>
  <c r="G20" i="11"/>
  <c r="G21" i="11"/>
  <c r="I21" i="11" s="1"/>
  <c r="G22" i="11"/>
  <c r="G23" i="11"/>
  <c r="G24" i="11"/>
  <c r="G25" i="11"/>
  <c r="H25" i="11" s="1"/>
  <c r="G26" i="11"/>
  <c r="G27" i="11"/>
  <c r="I27" i="11" s="1"/>
  <c r="G28" i="11"/>
  <c r="I28" i="11" s="1"/>
  <c r="G29" i="11"/>
  <c r="G30" i="11"/>
  <c r="I30" i="11" s="1"/>
  <c r="G31" i="11"/>
  <c r="I31" i="11" s="1"/>
  <c r="G32" i="11"/>
  <c r="G33" i="11"/>
  <c r="I33" i="11" s="1"/>
  <c r="G3" i="11"/>
  <c r="G4" i="10"/>
  <c r="G5" i="10"/>
  <c r="H5" i="10" s="1"/>
  <c r="G6" i="10"/>
  <c r="I6" i="10" s="1"/>
  <c r="G7" i="10"/>
  <c r="I7" i="10" s="1"/>
  <c r="G8" i="10"/>
  <c r="I8" i="10" s="1"/>
  <c r="G9" i="10"/>
  <c r="I9" i="10" s="1"/>
  <c r="G10" i="10"/>
  <c r="I10" i="10" s="1"/>
  <c r="G11" i="10"/>
  <c r="I11" i="10" s="1"/>
  <c r="G12" i="10"/>
  <c r="I12" i="10" s="1"/>
  <c r="G13" i="10"/>
  <c r="G14" i="10"/>
  <c r="G16" i="10"/>
  <c r="H16" i="10" s="1"/>
  <c r="I16" i="10" s="1"/>
  <c r="G17" i="10"/>
  <c r="H17" i="10" s="1"/>
  <c r="G18" i="10"/>
  <c r="G19" i="10"/>
  <c r="I19" i="10" s="1"/>
  <c r="G20" i="10"/>
  <c r="I20" i="10" s="1"/>
  <c r="G21" i="10"/>
  <c r="I21" i="10" s="1"/>
  <c r="G22" i="10"/>
  <c r="I22" i="10" s="1"/>
  <c r="G3" i="10"/>
  <c r="G4" i="9"/>
  <c r="G5" i="9"/>
  <c r="G6" i="9"/>
  <c r="H6" i="9" s="1"/>
  <c r="I6" i="9" s="1"/>
  <c r="G7" i="9"/>
  <c r="G8" i="9"/>
  <c r="G9" i="9"/>
  <c r="H9" i="9" s="1"/>
  <c r="G10" i="9"/>
  <c r="I10" i="9" s="1"/>
  <c r="G11" i="9"/>
  <c r="G12" i="9"/>
  <c r="G13" i="9"/>
  <c r="I13" i="9" s="1"/>
  <c r="G14" i="9"/>
  <c r="I14" i="9" s="1"/>
  <c r="G15" i="9"/>
  <c r="I15" i="9" s="1"/>
  <c r="G16" i="9"/>
  <c r="G17" i="9"/>
  <c r="I17" i="9" s="1"/>
  <c r="G18" i="9"/>
  <c r="G19" i="9"/>
  <c r="G20" i="9"/>
  <c r="G21" i="9"/>
  <c r="H21" i="9" s="1"/>
  <c r="G22" i="9"/>
  <c r="G3" i="9"/>
  <c r="G4" i="8"/>
  <c r="I4" i="8" s="1"/>
  <c r="G5" i="8"/>
  <c r="G6" i="8"/>
  <c r="I6" i="8" s="1"/>
  <c r="G7" i="8"/>
  <c r="I7" i="8" s="1"/>
  <c r="G8" i="8"/>
  <c r="G9" i="8"/>
  <c r="I9" i="8" s="1"/>
  <c r="G10" i="8"/>
  <c r="G11" i="8"/>
  <c r="G12" i="8"/>
  <c r="G13" i="8"/>
  <c r="H13" i="8" s="1"/>
  <c r="G14" i="8"/>
  <c r="G15" i="8"/>
  <c r="G16" i="8"/>
  <c r="I16" i="8" s="1"/>
  <c r="G17" i="8"/>
  <c r="I17" i="8" s="1"/>
  <c r="G18" i="8"/>
  <c r="I18" i="8" s="1"/>
  <c r="I19" i="8"/>
  <c r="G20" i="8"/>
  <c r="G21" i="8"/>
  <c r="I21" i="8" s="1"/>
  <c r="G22" i="8"/>
  <c r="G3" i="8"/>
  <c r="G4" i="7"/>
  <c r="G5" i="7"/>
  <c r="H5" i="7" s="1"/>
  <c r="G6" i="7"/>
  <c r="I6" i="7" s="1"/>
  <c r="G7" i="7"/>
  <c r="I7" i="7" s="1"/>
  <c r="G8" i="7"/>
  <c r="I8" i="7" s="1"/>
  <c r="G9" i="7"/>
  <c r="I9" i="7" s="1"/>
  <c r="G10" i="7"/>
  <c r="I10" i="7" s="1"/>
  <c r="G11" i="7"/>
  <c r="I11" i="7" s="1"/>
  <c r="G12" i="7"/>
  <c r="G13" i="7"/>
  <c r="I13" i="7" s="1"/>
  <c r="G14" i="7"/>
  <c r="G15" i="7"/>
  <c r="G16" i="7"/>
  <c r="G17" i="7"/>
  <c r="H17" i="7" s="1"/>
  <c r="G18" i="7"/>
  <c r="I18" i="7" s="1"/>
  <c r="G19" i="7"/>
  <c r="I19" i="7" s="1"/>
  <c r="G20" i="7"/>
  <c r="I20" i="7" s="1"/>
  <c r="G21" i="7"/>
  <c r="I21" i="7" s="1"/>
  <c r="G22" i="7"/>
  <c r="I22" i="7" s="1"/>
  <c r="G23" i="7"/>
  <c r="G24" i="7"/>
  <c r="I25" i="7"/>
  <c r="G27" i="7"/>
  <c r="H27" i="7" s="1"/>
  <c r="I27" i="7" s="1"/>
  <c r="G28" i="7"/>
  <c r="G29" i="7"/>
  <c r="H29" i="7" s="1"/>
  <c r="G30" i="7"/>
  <c r="I30" i="7" s="1"/>
  <c r="G31" i="7"/>
  <c r="I31" i="7" s="1"/>
  <c r="G32" i="7"/>
  <c r="I32" i="7" s="1"/>
  <c r="G33" i="7"/>
  <c r="I33" i="7" s="1"/>
  <c r="G34" i="7"/>
  <c r="I34" i="7" s="1"/>
  <c r="G3" i="7"/>
  <c r="G4" i="6"/>
  <c r="G5" i="6"/>
  <c r="G6" i="6"/>
  <c r="G7" i="6"/>
  <c r="H7" i="6" s="1"/>
  <c r="I7" i="6" s="1"/>
  <c r="G8" i="6"/>
  <c r="G9" i="6"/>
  <c r="H9" i="6" s="1"/>
  <c r="G10" i="6"/>
  <c r="I10" i="6" s="1"/>
  <c r="G11" i="6"/>
  <c r="G12" i="6"/>
  <c r="G13" i="6"/>
  <c r="G14" i="6"/>
  <c r="I14" i="6" s="1"/>
  <c r="G15" i="6"/>
  <c r="G16" i="6"/>
  <c r="I17" i="6"/>
  <c r="G18" i="6"/>
  <c r="G19" i="6"/>
  <c r="H19" i="6" s="1"/>
  <c r="I19" i="6" s="1"/>
  <c r="G20" i="6"/>
  <c r="G21" i="6"/>
  <c r="H21" i="6" s="1"/>
  <c r="G22" i="6"/>
  <c r="I22" i="6" s="1"/>
  <c r="G3" i="6"/>
  <c r="G28" i="5"/>
  <c r="I28" i="5" s="1"/>
  <c r="I29" i="5"/>
  <c r="I30" i="5"/>
  <c r="G13" i="5"/>
  <c r="H13" i="5" s="1"/>
  <c r="G14" i="5"/>
  <c r="G15" i="5"/>
  <c r="I15" i="5" s="1"/>
  <c r="G16" i="5"/>
  <c r="I16" i="5" s="1"/>
  <c r="G17" i="5"/>
  <c r="I18" i="5"/>
  <c r="G20" i="5"/>
  <c r="I20" i="5" s="1"/>
  <c r="G21" i="5"/>
  <c r="G23" i="5"/>
  <c r="I23" i="5" s="1"/>
  <c r="G24" i="5"/>
  <c r="H24" i="5" s="1"/>
  <c r="G25" i="5"/>
  <c r="H25" i="5" s="1"/>
  <c r="G27" i="5"/>
  <c r="I27" i="5" s="1"/>
  <c r="G4" i="5"/>
  <c r="I4" i="5" s="1"/>
  <c r="G5" i="5"/>
  <c r="G6" i="5"/>
  <c r="I6" i="5" s="1"/>
  <c r="G7" i="5"/>
  <c r="G8" i="5"/>
  <c r="I8" i="5" s="1"/>
  <c r="G9" i="5"/>
  <c r="G10" i="5"/>
  <c r="G11" i="5"/>
  <c r="I11" i="5" s="1"/>
  <c r="G12" i="5"/>
  <c r="H12" i="5" s="1"/>
  <c r="G3" i="5"/>
  <c r="G3" i="4"/>
  <c r="G18" i="4"/>
  <c r="I18" i="4" s="1"/>
  <c r="G4" i="4"/>
  <c r="G5" i="4"/>
  <c r="G6" i="4"/>
  <c r="G7" i="4"/>
  <c r="H7" i="4" s="1"/>
  <c r="I7" i="4" s="1"/>
  <c r="G8" i="4"/>
  <c r="G9" i="4"/>
  <c r="H9" i="4" s="1"/>
  <c r="G11" i="4"/>
  <c r="I11" i="4" s="1"/>
  <c r="G12" i="4"/>
  <c r="G13" i="4"/>
  <c r="I13" i="4" s="1"/>
  <c r="G14" i="4"/>
  <c r="I14" i="4" s="1"/>
  <c r="G15" i="4"/>
  <c r="I15" i="4" s="1"/>
  <c r="G16" i="4"/>
  <c r="G17" i="4"/>
  <c r="H4" i="3"/>
  <c r="G7" i="3"/>
  <c r="G8" i="3"/>
  <c r="I8" i="3" s="1"/>
  <c r="G9" i="3"/>
  <c r="I9" i="3" s="1"/>
  <c r="G10" i="3"/>
  <c r="I10" i="3" s="1"/>
  <c r="G11" i="3"/>
  <c r="I11" i="3" s="1"/>
  <c r="I12" i="3"/>
  <c r="G13" i="3"/>
  <c r="I13" i="3" s="1"/>
  <c r="I14" i="3"/>
  <c r="G15" i="3"/>
  <c r="H14" i="3" s="1"/>
  <c r="G16" i="3"/>
  <c r="H15" i="3" s="1"/>
  <c r="G17" i="3"/>
  <c r="H16" i="3" s="1"/>
  <c r="G18" i="3"/>
  <c r="H17" i="3" s="1"/>
  <c r="G19" i="3"/>
  <c r="I19" i="3" s="1"/>
  <c r="G4" i="3"/>
  <c r="G5" i="1"/>
  <c r="H6" i="1"/>
  <c r="G7" i="1"/>
  <c r="G8" i="1"/>
  <c r="I8" i="1" s="1"/>
  <c r="G9" i="1"/>
  <c r="I9" i="1" s="1"/>
  <c r="G10" i="1"/>
  <c r="I10" i="1" s="1"/>
  <c r="G11" i="1"/>
  <c r="G12" i="1"/>
  <c r="H12" i="1" s="1"/>
  <c r="G13" i="1"/>
  <c r="H13" i="1" s="1"/>
  <c r="H14" i="1"/>
  <c r="I15" i="1"/>
  <c r="I16" i="1"/>
  <c r="G17" i="1"/>
  <c r="I17" i="1" s="1"/>
  <c r="G18" i="1"/>
  <c r="G19" i="1"/>
  <c r="I19" i="1" s="1"/>
  <c r="G20" i="1"/>
  <c r="H20" i="1" s="1"/>
  <c r="G21" i="1"/>
  <c r="H21" i="1" s="1"/>
  <c r="G22" i="1"/>
  <c r="H22" i="1" s="1"/>
  <c r="I23" i="1"/>
  <c r="G25" i="1"/>
  <c r="I25" i="1" s="1"/>
  <c r="I26" i="1"/>
  <c r="G27" i="1"/>
  <c r="O12" i="14"/>
  <c r="N12" i="14"/>
  <c r="M12" i="14"/>
  <c r="L12" i="14"/>
  <c r="K12" i="14"/>
  <c r="J12" i="14"/>
  <c r="I12" i="14"/>
  <c r="H12" i="14"/>
  <c r="G12" i="14"/>
  <c r="F12" i="14"/>
  <c r="E12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D3" i="14"/>
  <c r="F4" i="14"/>
  <c r="D4" i="14"/>
  <c r="O4" i="14"/>
  <c r="N4" i="14"/>
  <c r="M4" i="14"/>
  <c r="L4" i="14"/>
  <c r="K4" i="14"/>
  <c r="J4" i="14"/>
  <c r="I4" i="14"/>
  <c r="H4" i="14"/>
  <c r="G4" i="14"/>
  <c r="F3" i="14"/>
  <c r="E4" i="14"/>
  <c r="E3" i="14"/>
  <c r="O3" i="14"/>
  <c r="N3" i="14"/>
  <c r="M3" i="14"/>
  <c r="L3" i="14"/>
  <c r="K3" i="14"/>
  <c r="J3" i="14"/>
  <c r="I3" i="14"/>
  <c r="H3" i="14"/>
  <c r="G3" i="14"/>
  <c r="H5" i="1" l="1"/>
  <c r="D40" i="15"/>
  <c r="D39" i="15"/>
  <c r="D38" i="15"/>
  <c r="D37" i="15"/>
  <c r="D36" i="15"/>
  <c r="D35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34" i="15"/>
  <c r="D20" i="15"/>
  <c r="D19" i="15"/>
  <c r="D18" i="15"/>
  <c r="D17" i="15"/>
  <c r="I4" i="3"/>
  <c r="E40" i="15"/>
  <c r="E39" i="15"/>
  <c r="E38" i="15"/>
  <c r="E37" i="15"/>
  <c r="E36" i="15"/>
  <c r="E35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34" i="15"/>
  <c r="E20" i="15"/>
  <c r="E19" i="15"/>
  <c r="E18" i="15"/>
  <c r="E17" i="15"/>
  <c r="F40" i="15"/>
  <c r="F39" i="15"/>
  <c r="F38" i="15"/>
  <c r="F37" i="15"/>
  <c r="F36" i="15"/>
  <c r="F35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34" i="15"/>
  <c r="F20" i="15"/>
  <c r="F19" i="15"/>
  <c r="F18" i="15"/>
  <c r="F17" i="15"/>
  <c r="G10" i="15"/>
  <c r="G40" i="15"/>
  <c r="G39" i="15"/>
  <c r="G38" i="15"/>
  <c r="G37" i="15"/>
  <c r="G36" i="15"/>
  <c r="G35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34" i="15"/>
  <c r="G20" i="15"/>
  <c r="G19" i="15"/>
  <c r="G18" i="15"/>
  <c r="G17" i="15"/>
  <c r="H7" i="15"/>
  <c r="M40" i="15"/>
  <c r="M39" i="15"/>
  <c r="M38" i="15"/>
  <c r="M37" i="15"/>
  <c r="M36" i="15"/>
  <c r="M35" i="15"/>
  <c r="M34" i="15"/>
  <c r="M33" i="15"/>
  <c r="M32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M17" i="15"/>
  <c r="M16" i="15"/>
  <c r="M15" i="15"/>
  <c r="M12" i="15"/>
  <c r="M11" i="15"/>
  <c r="M10" i="15"/>
  <c r="M9" i="15"/>
  <c r="M8" i="15"/>
  <c r="M7" i="15"/>
  <c r="M6" i="15"/>
  <c r="M5" i="15"/>
  <c r="M4" i="15"/>
  <c r="M3" i="15"/>
  <c r="H40" i="15"/>
  <c r="H39" i="15"/>
  <c r="H38" i="15"/>
  <c r="H37" i="15"/>
  <c r="H36" i="15"/>
  <c r="H35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34" i="15"/>
  <c r="H20" i="15"/>
  <c r="H19" i="15"/>
  <c r="H18" i="15"/>
  <c r="H17" i="15"/>
  <c r="I6" i="15"/>
  <c r="I40" i="15"/>
  <c r="I39" i="15"/>
  <c r="I38" i="15"/>
  <c r="I37" i="15"/>
  <c r="I36" i="15"/>
  <c r="I35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34" i="15"/>
  <c r="I20" i="15"/>
  <c r="I19" i="15"/>
  <c r="I18" i="15"/>
  <c r="I17" i="15"/>
  <c r="J15" i="15"/>
  <c r="N40" i="15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2" i="15"/>
  <c r="N11" i="15"/>
  <c r="N10" i="15"/>
  <c r="N9" i="15"/>
  <c r="N8" i="15"/>
  <c r="N7" i="15"/>
  <c r="N6" i="15"/>
  <c r="N5" i="15"/>
  <c r="N4" i="15"/>
  <c r="N3" i="15"/>
  <c r="J40" i="15"/>
  <c r="J39" i="15"/>
  <c r="J38" i="15"/>
  <c r="J37" i="15"/>
  <c r="J36" i="15"/>
  <c r="J35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34" i="15"/>
  <c r="J20" i="15"/>
  <c r="J19" i="15"/>
  <c r="J18" i="15"/>
  <c r="J17" i="15"/>
  <c r="I3" i="9"/>
  <c r="K40" i="15"/>
  <c r="K39" i="15"/>
  <c r="K38" i="15"/>
  <c r="K37" i="15"/>
  <c r="K36" i="15"/>
  <c r="K35" i="15"/>
  <c r="K33" i="15"/>
  <c r="K32" i="15"/>
  <c r="K31" i="15"/>
  <c r="K30" i="15"/>
  <c r="K29" i="15"/>
  <c r="K28" i="15"/>
  <c r="K27" i="15"/>
  <c r="K26" i="15"/>
  <c r="K25" i="15"/>
  <c r="K24" i="15"/>
  <c r="K23" i="15"/>
  <c r="K22" i="15"/>
  <c r="K21" i="15"/>
  <c r="K34" i="15"/>
  <c r="K20" i="15"/>
  <c r="K19" i="15"/>
  <c r="K18" i="15"/>
  <c r="K17" i="15"/>
  <c r="L40" i="15"/>
  <c r="L39" i="15"/>
  <c r="L38" i="15"/>
  <c r="L37" i="15"/>
  <c r="L36" i="15"/>
  <c r="L35" i="15"/>
  <c r="L33" i="15"/>
  <c r="L32" i="15"/>
  <c r="L31" i="15"/>
  <c r="L30" i="15"/>
  <c r="L29" i="15"/>
  <c r="L28" i="15"/>
  <c r="L27" i="15"/>
  <c r="L26" i="15"/>
  <c r="L25" i="15"/>
  <c r="L24" i="15"/>
  <c r="L23" i="15"/>
  <c r="L22" i="15"/>
  <c r="L21" i="15"/>
  <c r="L34" i="15"/>
  <c r="L20" i="15"/>
  <c r="L19" i="15"/>
  <c r="L18" i="15"/>
  <c r="L17" i="15"/>
  <c r="I4" i="13"/>
  <c r="O40" i="15"/>
  <c r="O39" i="15"/>
  <c r="O38" i="15"/>
  <c r="O37" i="15"/>
  <c r="O36" i="15"/>
  <c r="O35" i="15"/>
  <c r="O33" i="15"/>
  <c r="O32" i="15"/>
  <c r="O31" i="15"/>
  <c r="O30" i="15"/>
  <c r="O29" i="15"/>
  <c r="O28" i="15"/>
  <c r="O27" i="15"/>
  <c r="O26" i="15"/>
  <c r="O25" i="15"/>
  <c r="O24" i="15"/>
  <c r="O23" i="15"/>
  <c r="O22" i="15"/>
  <c r="O21" i="15"/>
  <c r="O34" i="15"/>
  <c r="O20" i="15"/>
  <c r="O19" i="15"/>
  <c r="O18" i="15"/>
  <c r="O17" i="15"/>
  <c r="S86" i="16"/>
  <c r="S95" i="16"/>
  <c r="S96" i="16"/>
  <c r="S52" i="16"/>
  <c r="S53" i="16"/>
  <c r="S80" i="16"/>
  <c r="W80" i="16" s="1"/>
  <c r="S81" i="16"/>
  <c r="S90" i="16"/>
  <c r="S92" i="16"/>
  <c r="S100" i="16"/>
  <c r="S101" i="16"/>
  <c r="W95" i="16" s="1"/>
  <c r="S108" i="16"/>
  <c r="W98" i="16" s="1"/>
  <c r="S49" i="16"/>
  <c r="W44" i="17"/>
  <c r="W45" i="17"/>
  <c r="W46" i="17"/>
  <c r="S55" i="17"/>
  <c r="W43" i="17"/>
  <c r="T43" i="17"/>
  <c r="W89" i="17"/>
  <c r="W77" i="17"/>
  <c r="W75" i="17"/>
  <c r="W74" i="17"/>
  <c r="S76" i="17"/>
  <c r="S81" i="17"/>
  <c r="S83" i="17"/>
  <c r="S84" i="17"/>
  <c r="S86" i="17"/>
  <c r="S87" i="17"/>
  <c r="S88" i="17"/>
  <c r="S89" i="17"/>
  <c r="S90" i="17"/>
  <c r="S93" i="17"/>
  <c r="S94" i="17"/>
  <c r="S98" i="17"/>
  <c r="S99" i="17"/>
  <c r="S100" i="17"/>
  <c r="S101" i="17"/>
  <c r="S102" i="17"/>
  <c r="S104" i="16"/>
  <c r="S56" i="16"/>
  <c r="S94" i="16"/>
  <c r="W91" i="16" s="1"/>
  <c r="S99" i="16"/>
  <c r="S89" i="16"/>
  <c r="W88" i="16" s="1"/>
  <c r="S51" i="16"/>
  <c r="S84" i="16"/>
  <c r="S107" i="16"/>
  <c r="W96" i="16" s="1"/>
  <c r="S98" i="16"/>
  <c r="S58" i="16"/>
  <c r="W50" i="16" s="1"/>
  <c r="S106" i="16"/>
  <c r="S57" i="16"/>
  <c r="D28" i="14"/>
  <c r="D32" i="14"/>
  <c r="S34" i="16"/>
  <c r="S8" i="16"/>
  <c r="D18" i="14"/>
  <c r="D17" i="14"/>
  <c r="I7" i="3"/>
  <c r="H6" i="3"/>
  <c r="I17" i="4"/>
  <c r="H17" i="4"/>
  <c r="I16" i="4"/>
  <c r="H16" i="4"/>
  <c r="H10" i="4"/>
  <c r="I10" i="4"/>
  <c r="F12" i="15"/>
  <c r="I6" i="4"/>
  <c r="H6" i="4"/>
  <c r="I5" i="4"/>
  <c r="H5" i="4"/>
  <c r="I4" i="4"/>
  <c r="H4" i="4"/>
  <c r="F11" i="15"/>
  <c r="I3" i="4"/>
  <c r="I10" i="5"/>
  <c r="H10" i="5"/>
  <c r="I9" i="5"/>
  <c r="H9" i="5"/>
  <c r="H7" i="5"/>
  <c r="I7" i="5"/>
  <c r="I5" i="5"/>
  <c r="H5" i="5"/>
  <c r="H26" i="5"/>
  <c r="I26" i="5"/>
  <c r="I22" i="5"/>
  <c r="H22" i="5"/>
  <c r="H21" i="5"/>
  <c r="I21" i="5" s="1"/>
  <c r="H19" i="5"/>
  <c r="I19" i="5"/>
  <c r="I17" i="5"/>
  <c r="H17" i="5"/>
  <c r="H14" i="5"/>
  <c r="I14" i="5"/>
  <c r="I20" i="6"/>
  <c r="H20" i="6"/>
  <c r="I18" i="6"/>
  <c r="H18" i="6"/>
  <c r="I16" i="6"/>
  <c r="H16" i="6"/>
  <c r="I8" i="6"/>
  <c r="H8" i="6"/>
  <c r="I6" i="6"/>
  <c r="H6" i="6"/>
  <c r="H8" i="15"/>
  <c r="I4" i="6"/>
  <c r="H4" i="6"/>
  <c r="I28" i="7"/>
  <c r="H28" i="7"/>
  <c r="I26" i="7"/>
  <c r="H26" i="7"/>
  <c r="H24" i="7"/>
  <c r="I24" i="7" s="1"/>
  <c r="I16" i="7"/>
  <c r="H16" i="7"/>
  <c r="H15" i="7"/>
  <c r="I15" i="7"/>
  <c r="I14" i="7"/>
  <c r="H14" i="7"/>
  <c r="I12" i="7"/>
  <c r="H12" i="7"/>
  <c r="I4" i="7"/>
  <c r="H4" i="7"/>
  <c r="I22" i="8"/>
  <c r="H22" i="8"/>
  <c r="I20" i="8"/>
  <c r="H20" i="8"/>
  <c r="I12" i="8"/>
  <c r="H12" i="8"/>
  <c r="H11" i="8"/>
  <c r="I11" i="8"/>
  <c r="I10" i="8"/>
  <c r="H10" i="8"/>
  <c r="I8" i="8"/>
  <c r="H8" i="8"/>
  <c r="J16" i="15"/>
  <c r="I20" i="9"/>
  <c r="H20" i="9"/>
  <c r="H19" i="9"/>
  <c r="I19" i="9"/>
  <c r="I18" i="9"/>
  <c r="H18" i="9"/>
  <c r="H16" i="9"/>
  <c r="I16" i="9" s="1"/>
  <c r="I8" i="9"/>
  <c r="H8" i="9"/>
  <c r="H7" i="9"/>
  <c r="I7" i="9"/>
  <c r="K9" i="15"/>
  <c r="I4" i="9"/>
  <c r="H4" i="9"/>
  <c r="H15" i="10"/>
  <c r="I15" i="10"/>
  <c r="I14" i="10"/>
  <c r="H14" i="10"/>
  <c r="H4" i="10"/>
  <c r="I4" i="10"/>
  <c r="I3" i="11"/>
  <c r="I34" i="11"/>
  <c r="H34" i="11"/>
  <c r="I32" i="11"/>
  <c r="H32" i="11"/>
  <c r="I24" i="11"/>
  <c r="H24" i="11"/>
  <c r="H23" i="11"/>
  <c r="I23" i="11"/>
  <c r="I22" i="11"/>
  <c r="H22" i="11"/>
  <c r="I20" i="11"/>
  <c r="H20" i="11"/>
  <c r="I12" i="11"/>
  <c r="H12" i="11"/>
  <c r="H11" i="11"/>
  <c r="I11" i="11"/>
  <c r="I8" i="11"/>
  <c r="H8" i="11"/>
  <c r="I24" i="12"/>
  <c r="H24" i="12"/>
  <c r="H23" i="12"/>
  <c r="I23" i="12"/>
  <c r="I22" i="12"/>
  <c r="H22" i="12"/>
  <c r="I20" i="12"/>
  <c r="H20" i="12"/>
  <c r="I12" i="12"/>
  <c r="H12" i="12"/>
  <c r="H11" i="12"/>
  <c r="I11" i="12"/>
  <c r="I10" i="12"/>
  <c r="H10" i="12"/>
  <c r="I8" i="12"/>
  <c r="H8" i="12"/>
  <c r="I38" i="13"/>
  <c r="H38" i="13"/>
  <c r="H37" i="13"/>
  <c r="I37" i="13"/>
  <c r="I36" i="13"/>
  <c r="H36" i="13"/>
  <c r="I34" i="13"/>
  <c r="H34" i="13"/>
  <c r="I26" i="13"/>
  <c r="H26" i="13"/>
  <c r="H25" i="13"/>
  <c r="I25" i="13"/>
  <c r="I24" i="13"/>
  <c r="H24" i="13"/>
  <c r="I22" i="13"/>
  <c r="H22" i="13"/>
  <c r="I14" i="13"/>
  <c r="H14" i="13"/>
  <c r="H13" i="13"/>
  <c r="I13" i="13"/>
  <c r="I12" i="13"/>
  <c r="H12" i="13"/>
  <c r="I10" i="13"/>
  <c r="H10" i="13"/>
  <c r="W52" i="16"/>
  <c r="S118" i="16"/>
  <c r="T116" i="16" s="1"/>
  <c r="T114" i="16"/>
  <c r="H12" i="10"/>
  <c r="L12" i="15"/>
  <c r="W89" i="16"/>
  <c r="W87" i="16"/>
  <c r="W82" i="16"/>
  <c r="T115" i="16"/>
  <c r="W93" i="16"/>
  <c r="W92" i="16"/>
  <c r="W51" i="16"/>
  <c r="W83" i="16"/>
  <c r="S16" i="16"/>
  <c r="T13" i="16" s="1"/>
  <c r="W81" i="16"/>
  <c r="S76" i="16"/>
  <c r="T70" i="16" s="1"/>
  <c r="T69" i="16"/>
  <c r="W49" i="16"/>
  <c r="S61" i="16"/>
  <c r="T55" i="16" s="1"/>
  <c r="S45" i="16"/>
  <c r="T21" i="16"/>
  <c r="T20" i="16"/>
  <c r="T3" i="16"/>
  <c r="I17" i="3"/>
  <c r="I16" i="3"/>
  <c r="I15" i="3"/>
  <c r="H12" i="3"/>
  <c r="H3" i="4"/>
  <c r="H23" i="5"/>
  <c r="H11" i="5"/>
  <c r="H3" i="8"/>
  <c r="I3" i="8" s="1"/>
  <c r="H3" i="11"/>
  <c r="I18" i="3"/>
  <c r="E14" i="15"/>
  <c r="I9" i="4"/>
  <c r="I25" i="5"/>
  <c r="I13" i="5"/>
  <c r="I21" i="6"/>
  <c r="I9" i="6"/>
  <c r="I29" i="7"/>
  <c r="I17" i="7"/>
  <c r="I5" i="7"/>
  <c r="I13" i="8"/>
  <c r="I21" i="9"/>
  <c r="I9" i="9"/>
  <c r="I17" i="10"/>
  <c r="I5" i="10"/>
  <c r="I25" i="11"/>
  <c r="I13" i="11"/>
  <c r="I25" i="12"/>
  <c r="I13" i="12"/>
  <c r="I39" i="13"/>
  <c r="I27" i="13"/>
  <c r="I15" i="13"/>
  <c r="E3" i="15"/>
  <c r="E15" i="15"/>
  <c r="G11" i="15"/>
  <c r="H9" i="15"/>
  <c r="I7" i="15"/>
  <c r="J5" i="15"/>
  <c r="K3" i="15"/>
  <c r="K15" i="15"/>
  <c r="O7" i="15"/>
  <c r="H18" i="4"/>
  <c r="I8" i="4"/>
  <c r="I24" i="5"/>
  <c r="I12" i="5"/>
  <c r="E4" i="15"/>
  <c r="E16" i="15"/>
  <c r="G12" i="15"/>
  <c r="H10" i="15"/>
  <c r="I8" i="15"/>
  <c r="J6" i="15"/>
  <c r="K4" i="15"/>
  <c r="K16" i="15"/>
  <c r="O8" i="15"/>
  <c r="H13" i="3"/>
  <c r="H17" i="6"/>
  <c r="H5" i="6"/>
  <c r="H25" i="7"/>
  <c r="H13" i="7"/>
  <c r="H21" i="8"/>
  <c r="H9" i="8"/>
  <c r="H17" i="9"/>
  <c r="H5" i="9"/>
  <c r="H13" i="10"/>
  <c r="I13" i="10" s="1"/>
  <c r="H33" i="11"/>
  <c r="H21" i="11"/>
  <c r="H9" i="11"/>
  <c r="H21" i="12"/>
  <c r="I21" i="12" s="1"/>
  <c r="H9" i="12"/>
  <c r="H35" i="13"/>
  <c r="H23" i="13"/>
  <c r="H11" i="13"/>
  <c r="E5" i="15"/>
  <c r="F3" i="15"/>
  <c r="F15" i="15"/>
  <c r="H11" i="15"/>
  <c r="I9" i="15"/>
  <c r="J7" i="15"/>
  <c r="K5" i="15"/>
  <c r="L3" i="15"/>
  <c r="L15" i="15"/>
  <c r="O9" i="15"/>
  <c r="H20" i="5"/>
  <c r="H8" i="5"/>
  <c r="E6" i="15"/>
  <c r="F4" i="15"/>
  <c r="F16" i="15"/>
  <c r="H12" i="15"/>
  <c r="I10" i="15"/>
  <c r="J8" i="15"/>
  <c r="K6" i="15"/>
  <c r="L4" i="15"/>
  <c r="L16" i="15"/>
  <c r="O10" i="15"/>
  <c r="D16" i="15"/>
  <c r="H11" i="3"/>
  <c r="H15" i="4"/>
  <c r="H3" i="5"/>
  <c r="H15" i="6"/>
  <c r="I15" i="6" s="1"/>
  <c r="H3" i="7"/>
  <c r="H23" i="7"/>
  <c r="I23" i="7" s="1"/>
  <c r="H11" i="7"/>
  <c r="H19" i="8"/>
  <c r="H7" i="8"/>
  <c r="H15" i="9"/>
  <c r="H3" i="10"/>
  <c r="H11" i="10"/>
  <c r="H31" i="11"/>
  <c r="H19" i="11"/>
  <c r="H7" i="11"/>
  <c r="H19" i="12"/>
  <c r="I19" i="12" s="1"/>
  <c r="H7" i="12"/>
  <c r="H33" i="13"/>
  <c r="H21" i="13"/>
  <c r="H9" i="13"/>
  <c r="I5" i="6"/>
  <c r="I5" i="9"/>
  <c r="E7" i="15"/>
  <c r="F5" i="15"/>
  <c r="G3" i="15"/>
  <c r="G15" i="15"/>
  <c r="I11" i="15"/>
  <c r="J9" i="15"/>
  <c r="K7" i="15"/>
  <c r="L5" i="15"/>
  <c r="O11" i="15"/>
  <c r="H10" i="3"/>
  <c r="H14" i="4"/>
  <c r="H30" i="5"/>
  <c r="H18" i="5"/>
  <c r="H6" i="5"/>
  <c r="H14" i="6"/>
  <c r="H34" i="7"/>
  <c r="H22" i="7"/>
  <c r="H10" i="7"/>
  <c r="H18" i="8"/>
  <c r="H6" i="8"/>
  <c r="H14" i="9"/>
  <c r="H22" i="10"/>
  <c r="H10" i="10"/>
  <c r="H30" i="11"/>
  <c r="H18" i="11"/>
  <c r="H6" i="11"/>
  <c r="H18" i="12"/>
  <c r="H6" i="12"/>
  <c r="H32" i="13"/>
  <c r="H20" i="13"/>
  <c r="H8" i="13"/>
  <c r="E8" i="15"/>
  <c r="F6" i="15"/>
  <c r="G4" i="15"/>
  <c r="G16" i="15"/>
  <c r="I12" i="15"/>
  <c r="J10" i="15"/>
  <c r="K8" i="15"/>
  <c r="L6" i="15"/>
  <c r="O12" i="15"/>
  <c r="H9" i="3"/>
  <c r="H13" i="4"/>
  <c r="H29" i="5"/>
  <c r="H13" i="6"/>
  <c r="I13" i="6" s="1"/>
  <c r="H33" i="7"/>
  <c r="H21" i="7"/>
  <c r="H9" i="7"/>
  <c r="H17" i="8"/>
  <c r="H5" i="8"/>
  <c r="H13" i="9"/>
  <c r="H21" i="10"/>
  <c r="H9" i="10"/>
  <c r="H29" i="11"/>
  <c r="I29" i="11" s="1"/>
  <c r="H17" i="11"/>
  <c r="H5" i="11"/>
  <c r="H17" i="12"/>
  <c r="H5" i="12"/>
  <c r="H31" i="13"/>
  <c r="H19" i="13"/>
  <c r="H7" i="13"/>
  <c r="I3" i="5"/>
  <c r="I3" i="7"/>
  <c r="I3" i="10"/>
  <c r="E9" i="15"/>
  <c r="F7" i="15"/>
  <c r="G5" i="15"/>
  <c r="H3" i="15"/>
  <c r="H15" i="15"/>
  <c r="J11" i="15"/>
  <c r="L7" i="15"/>
  <c r="H8" i="3"/>
  <c r="H12" i="4"/>
  <c r="I12" i="4" s="1"/>
  <c r="F13" i="15" s="1"/>
  <c r="H28" i="5"/>
  <c r="H16" i="5"/>
  <c r="H4" i="5"/>
  <c r="H12" i="6"/>
  <c r="I12" i="6" s="1"/>
  <c r="H32" i="7"/>
  <c r="H20" i="7"/>
  <c r="H8" i="7"/>
  <c r="H16" i="8"/>
  <c r="H4" i="8"/>
  <c r="H12" i="9"/>
  <c r="I12" i="9" s="1"/>
  <c r="H20" i="10"/>
  <c r="H8" i="10"/>
  <c r="H28" i="11"/>
  <c r="H16" i="11"/>
  <c r="H4" i="11"/>
  <c r="H16" i="12"/>
  <c r="H4" i="12"/>
  <c r="H30" i="13"/>
  <c r="H18" i="13"/>
  <c r="H6" i="13"/>
  <c r="E10" i="15"/>
  <c r="F8" i="15"/>
  <c r="G6" i="15"/>
  <c r="H4" i="15"/>
  <c r="H16" i="15"/>
  <c r="J12" i="15"/>
  <c r="K10" i="15"/>
  <c r="L8" i="15"/>
  <c r="H7" i="3"/>
  <c r="H11" i="4"/>
  <c r="H27" i="5"/>
  <c r="H15" i="5"/>
  <c r="H3" i="6"/>
  <c r="H11" i="6"/>
  <c r="I11" i="6" s="1"/>
  <c r="H31" i="7"/>
  <c r="H19" i="7"/>
  <c r="H7" i="7"/>
  <c r="H15" i="8"/>
  <c r="I15" i="8" s="1"/>
  <c r="H3" i="9"/>
  <c r="H11" i="9"/>
  <c r="I11" i="9" s="1"/>
  <c r="H19" i="10"/>
  <c r="H7" i="10"/>
  <c r="H27" i="11"/>
  <c r="H15" i="11"/>
  <c r="H3" i="12"/>
  <c r="H15" i="12"/>
  <c r="H3" i="13"/>
  <c r="H29" i="13"/>
  <c r="H17" i="13"/>
  <c r="H5" i="13"/>
  <c r="I5" i="8"/>
  <c r="I5" i="11"/>
  <c r="I5" i="12"/>
  <c r="E11" i="15"/>
  <c r="F9" i="15"/>
  <c r="G7" i="15"/>
  <c r="H5" i="15"/>
  <c r="I3" i="15"/>
  <c r="I15" i="15"/>
  <c r="K11" i="15"/>
  <c r="L9" i="15"/>
  <c r="O3" i="15"/>
  <c r="O15" i="15"/>
  <c r="H18" i="3"/>
  <c r="H22" i="6"/>
  <c r="H10" i="6"/>
  <c r="H30" i="7"/>
  <c r="H18" i="7"/>
  <c r="H6" i="7"/>
  <c r="H14" i="8"/>
  <c r="I14" i="8" s="1"/>
  <c r="H22" i="9"/>
  <c r="I22" i="9" s="1"/>
  <c r="H10" i="9"/>
  <c r="H18" i="10"/>
  <c r="I18" i="10" s="1"/>
  <c r="H6" i="10"/>
  <c r="H26" i="11"/>
  <c r="I26" i="11" s="1"/>
  <c r="H14" i="11"/>
  <c r="H26" i="12"/>
  <c r="H14" i="12"/>
  <c r="H40" i="13"/>
  <c r="H28" i="13"/>
  <c r="H16" i="13"/>
  <c r="H4" i="13"/>
  <c r="E12" i="15"/>
  <c r="F10" i="15"/>
  <c r="G8" i="15"/>
  <c r="H6" i="15"/>
  <c r="I4" i="15"/>
  <c r="I16" i="15"/>
  <c r="K12" i="15"/>
  <c r="L10" i="15"/>
  <c r="O4" i="15"/>
  <c r="O16" i="15"/>
  <c r="I3" i="6"/>
  <c r="I3" i="12"/>
  <c r="I3" i="13"/>
  <c r="G9" i="15"/>
  <c r="I5" i="15"/>
  <c r="J3" i="15"/>
  <c r="L11" i="15"/>
  <c r="O5" i="15"/>
  <c r="H8" i="4"/>
  <c r="J4" i="15"/>
  <c r="H4" i="1"/>
  <c r="H19" i="1"/>
  <c r="H11" i="1"/>
  <c r="I11" i="1" s="1"/>
  <c r="D10" i="15"/>
  <c r="I22" i="1"/>
  <c r="I14" i="1"/>
  <c r="I6" i="1"/>
  <c r="H27" i="1"/>
  <c r="I27" i="1" s="1"/>
  <c r="H18" i="1"/>
  <c r="I18" i="1" s="1"/>
  <c r="H10" i="1"/>
  <c r="D3" i="15"/>
  <c r="D11" i="15"/>
  <c r="I21" i="1"/>
  <c r="I13" i="1"/>
  <c r="I5" i="1"/>
  <c r="H26" i="1"/>
  <c r="H17" i="1"/>
  <c r="H9" i="1"/>
  <c r="D4" i="15"/>
  <c r="D12" i="15"/>
  <c r="I20" i="1"/>
  <c r="I12" i="1"/>
  <c r="H25" i="1"/>
  <c r="H16" i="1"/>
  <c r="H8" i="1"/>
  <c r="D5" i="15"/>
  <c r="I4" i="1"/>
  <c r="H23" i="1"/>
  <c r="H15" i="1"/>
  <c r="H7" i="1"/>
  <c r="I7" i="1" s="1"/>
  <c r="D6" i="15"/>
  <c r="D7" i="15"/>
  <c r="D8" i="15"/>
  <c r="D15" i="15"/>
  <c r="D9" i="15"/>
  <c r="D29" i="14"/>
  <c r="M14" i="15" l="1"/>
  <c r="M13" i="15"/>
  <c r="N14" i="15"/>
  <c r="N13" i="15"/>
  <c r="S110" i="16"/>
  <c r="T106" i="16" s="1"/>
  <c r="W92" i="17"/>
  <c r="W90" i="17"/>
  <c r="W78" i="17"/>
  <c r="W87" i="17"/>
  <c r="W86" i="17"/>
  <c r="W85" i="17"/>
  <c r="W81" i="17"/>
  <c r="W83" i="17"/>
  <c r="W82" i="17"/>
  <c r="W80" i="17"/>
  <c r="W76" i="17"/>
  <c r="S104" i="17"/>
  <c r="W94" i="17"/>
  <c r="X74" i="17"/>
  <c r="W48" i="17"/>
  <c r="X43" i="17"/>
  <c r="T53" i="17"/>
  <c r="T52" i="17"/>
  <c r="T51" i="17"/>
  <c r="T50" i="17"/>
  <c r="T49" i="17"/>
  <c r="T48" i="17"/>
  <c r="T47" i="17"/>
  <c r="T46" i="17"/>
  <c r="T45" i="17"/>
  <c r="T44" i="17"/>
  <c r="P17" i="15"/>
  <c r="P18" i="15"/>
  <c r="P19" i="15"/>
  <c r="P20" i="15"/>
  <c r="P34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T21" i="15" s="1"/>
  <c r="P35" i="15"/>
  <c r="P36" i="15"/>
  <c r="P37" i="15"/>
  <c r="P38" i="15"/>
  <c r="P39" i="15"/>
  <c r="P40" i="15"/>
  <c r="T24" i="15" s="1"/>
  <c r="W84" i="16"/>
  <c r="W100" i="16" s="1"/>
  <c r="E32" i="14"/>
  <c r="E33" i="14"/>
  <c r="E34" i="14"/>
  <c r="T30" i="16"/>
  <c r="T31" i="16"/>
  <c r="T32" i="16"/>
  <c r="T29" i="16"/>
  <c r="T28" i="16"/>
  <c r="D27" i="14"/>
  <c r="D24" i="14"/>
  <c r="P16" i="15"/>
  <c r="T13" i="15" s="1"/>
  <c r="T68" i="16"/>
  <c r="T74" i="16"/>
  <c r="T99" i="16"/>
  <c r="T96" i="16"/>
  <c r="T88" i="16"/>
  <c r="T101" i="16"/>
  <c r="T94" i="16"/>
  <c r="T105" i="16"/>
  <c r="T81" i="16"/>
  <c r="T80" i="16"/>
  <c r="T90" i="16"/>
  <c r="T95" i="16"/>
  <c r="T71" i="16"/>
  <c r="T66" i="16"/>
  <c r="T65" i="16"/>
  <c r="T93" i="16"/>
  <c r="T84" i="16"/>
  <c r="T98" i="16"/>
  <c r="T92" i="16"/>
  <c r="T87" i="16"/>
  <c r="T100" i="16"/>
  <c r="T107" i="16"/>
  <c r="T89" i="16"/>
  <c r="T83" i="16"/>
  <c r="T102" i="16"/>
  <c r="T104" i="16"/>
  <c r="T86" i="16"/>
  <c r="T12" i="16"/>
  <c r="T82" i="16"/>
  <c r="T108" i="16"/>
  <c r="T73" i="16"/>
  <c r="T72" i="16"/>
  <c r="T67" i="16"/>
  <c r="W54" i="16"/>
  <c r="T49" i="16"/>
  <c r="T53" i="16"/>
  <c r="T54" i="16"/>
  <c r="T57" i="16"/>
  <c r="T38" i="16"/>
  <c r="T43" i="16"/>
  <c r="T42" i="16"/>
  <c r="T40" i="16"/>
  <c r="T39" i="16"/>
  <c r="T52" i="16"/>
  <c r="T50" i="16"/>
  <c r="T59" i="16"/>
  <c r="T41" i="16"/>
  <c r="T56" i="16"/>
  <c r="T58" i="16"/>
  <c r="T51" i="16"/>
  <c r="T4" i="16"/>
  <c r="T5" i="16"/>
  <c r="T6" i="16"/>
  <c r="P3" i="15"/>
  <c r="K14" i="15"/>
  <c r="P12" i="15"/>
  <c r="T11" i="15" s="1"/>
  <c r="P4" i="15"/>
  <c r="T15" i="15" s="1"/>
  <c r="L14" i="15"/>
  <c r="L13" i="15"/>
  <c r="K13" i="15"/>
  <c r="P11" i="15"/>
  <c r="T10" i="15" s="1"/>
  <c r="H14" i="15"/>
  <c r="H13" i="15"/>
  <c r="F14" i="15"/>
  <c r="P8" i="15"/>
  <c r="T7" i="15" s="1"/>
  <c r="I14" i="15"/>
  <c r="I13" i="15"/>
  <c r="G14" i="15"/>
  <c r="G13" i="15"/>
  <c r="J14" i="15"/>
  <c r="J13" i="15"/>
  <c r="P15" i="15"/>
  <c r="P7" i="15"/>
  <c r="T8" i="15" s="1"/>
  <c r="P10" i="15"/>
  <c r="T4" i="15" s="1"/>
  <c r="E13" i="15"/>
  <c r="P9" i="15"/>
  <c r="T3" i="15" s="1"/>
  <c r="P6" i="15"/>
  <c r="P5" i="15"/>
  <c r="T16" i="15" s="1"/>
  <c r="O14" i="15"/>
  <c r="O13" i="15"/>
  <c r="D14" i="15"/>
  <c r="D13" i="15"/>
  <c r="E17" i="14"/>
  <c r="E27" i="14"/>
  <c r="E29" i="14"/>
  <c r="E28" i="14"/>
  <c r="T23" i="15" l="1"/>
  <c r="D64" i="15"/>
  <c r="T22" i="15"/>
  <c r="D63" i="15"/>
  <c r="T20" i="15"/>
  <c r="D62" i="15"/>
  <c r="T19" i="15"/>
  <c r="T18" i="15"/>
  <c r="D61" i="15"/>
  <c r="T17" i="15"/>
  <c r="D60" i="15"/>
  <c r="T28" i="15"/>
  <c r="D59" i="15"/>
  <c r="T27" i="15"/>
  <c r="D58" i="15"/>
  <c r="T26" i="15"/>
  <c r="D57" i="15"/>
  <c r="T25" i="15"/>
  <c r="D56" i="15"/>
  <c r="X44" i="17"/>
  <c r="X45" i="17"/>
  <c r="X46" i="17"/>
  <c r="X89" i="17"/>
  <c r="X77" i="17"/>
  <c r="X75" i="17"/>
  <c r="T96" i="17"/>
  <c r="T95" i="17"/>
  <c r="T92" i="17"/>
  <c r="T82" i="17"/>
  <c r="T80" i="17"/>
  <c r="T78" i="17"/>
  <c r="T77" i="17"/>
  <c r="T75" i="17"/>
  <c r="T74" i="17"/>
  <c r="T102" i="17"/>
  <c r="T101" i="17"/>
  <c r="T100" i="17"/>
  <c r="T99" i="17"/>
  <c r="T98" i="17"/>
  <c r="T94" i="17"/>
  <c r="T93" i="17"/>
  <c r="T90" i="17"/>
  <c r="T89" i="17"/>
  <c r="T88" i="17"/>
  <c r="T87" i="17"/>
  <c r="T86" i="17"/>
  <c r="T84" i="17"/>
  <c r="T83" i="17"/>
  <c r="T81" i="17"/>
  <c r="T76" i="17"/>
  <c r="X76" i="17"/>
  <c r="X80" i="17"/>
  <c r="X82" i="17"/>
  <c r="X83" i="17"/>
  <c r="X81" i="17"/>
  <c r="X85" i="17"/>
  <c r="X86" i="17"/>
  <c r="X87" i="17"/>
  <c r="X78" i="17"/>
  <c r="X90" i="17"/>
  <c r="X92" i="17"/>
  <c r="X86" i="16"/>
  <c r="X91" i="16"/>
  <c r="X96" i="16"/>
  <c r="X81" i="16"/>
  <c r="X87" i="16"/>
  <c r="X89" i="16"/>
  <c r="X98" i="16"/>
  <c r="D50" i="15"/>
  <c r="T9" i="15"/>
  <c r="T12" i="15"/>
  <c r="D55" i="15"/>
  <c r="D48" i="15"/>
  <c r="T14" i="15"/>
  <c r="E19" i="14"/>
  <c r="E20" i="14"/>
  <c r="E21" i="14"/>
  <c r="D51" i="15"/>
  <c r="X93" i="16"/>
  <c r="D53" i="15"/>
  <c r="X82" i="16"/>
  <c r="X84" i="16"/>
  <c r="D52" i="15"/>
  <c r="X92" i="16"/>
  <c r="X95" i="16"/>
  <c r="X83" i="16"/>
  <c r="X88" i="16"/>
  <c r="X80" i="16"/>
  <c r="X52" i="16"/>
  <c r="X50" i="16"/>
  <c r="X51" i="16"/>
  <c r="X49" i="16"/>
  <c r="D49" i="15"/>
  <c r="P13" i="15"/>
  <c r="T6" i="15" s="1"/>
  <c r="P14" i="15"/>
  <c r="T5" i="15" s="1"/>
  <c r="E18" i="14"/>
  <c r="E22" i="14"/>
  <c r="U5" i="15" l="1"/>
  <c r="U16" i="15"/>
  <c r="U18" i="15"/>
  <c r="U19" i="15"/>
  <c r="U20" i="15"/>
  <c r="U21" i="15"/>
  <c r="U22" i="15"/>
  <c r="U23" i="15"/>
  <c r="U24" i="15"/>
  <c r="U25" i="15"/>
  <c r="U26" i="15"/>
  <c r="U27" i="15"/>
  <c r="U28" i="15"/>
  <c r="U3" i="15"/>
  <c r="U17" i="15"/>
  <c r="U4" i="15"/>
  <c r="U8" i="15"/>
  <c r="U7" i="15"/>
  <c r="U10" i="15"/>
  <c r="U15" i="15"/>
  <c r="U11" i="15"/>
  <c r="U13" i="15"/>
  <c r="U6" i="15"/>
  <c r="U14" i="15"/>
  <c r="U12" i="15"/>
  <c r="U9" i="15"/>
  <c r="D54" i="15"/>
  <c r="E54" i="15" l="1"/>
  <c r="E49" i="15"/>
  <c r="E52" i="15"/>
  <c r="E53" i="15"/>
  <c r="E51" i="15"/>
  <c r="E48" i="15"/>
  <c r="E64" i="15"/>
  <c r="E63" i="15"/>
  <c r="E62" i="15"/>
  <c r="E61" i="15"/>
  <c r="E60" i="15"/>
  <c r="E59" i="15"/>
  <c r="E58" i="15"/>
  <c r="E57" i="15"/>
  <c r="E56" i="15"/>
  <c r="E55" i="15"/>
  <c r="E50" i="15"/>
</calcChain>
</file>

<file path=xl/sharedStrings.xml><?xml version="1.0" encoding="utf-8"?>
<sst xmlns="http://schemas.openxmlformats.org/spreadsheetml/2006/main" count="4053" uniqueCount="667">
  <si>
    <t>Parametry: rozměr, daktylský incipit, DI v druhé půlce alexandrínu</t>
  </si>
  <si>
    <t>Daktylský incipit = zářily, marně jsem, ale já, jako by</t>
  </si>
  <si>
    <t>daktylský incipit x = verš není jambický</t>
  </si>
  <si>
    <t>Daktylský incipit 2 = pětislabičný (zbývající mé)</t>
  </si>
  <si>
    <t>DI (v druhém půlverši alexandrínu) = x znamená, že verš není alexandrín</t>
  </si>
  <si>
    <t>XXX = nepravidelný verš</t>
  </si>
  <si>
    <t>daktylský incipit nejsou předložkové fráze! (po hadím) ani tři jednoslavbičná slova (a když jsem)</t>
  </si>
  <si>
    <t>Hory</t>
  </si>
  <si>
    <t>Metrum</t>
  </si>
  <si>
    <t>Počet stop</t>
  </si>
  <si>
    <t>Klauzule</t>
  </si>
  <si>
    <t>Daktylský incipit</t>
  </si>
  <si>
    <t>Daktylský incipit (v druhém půlverši alexandrínu)</t>
  </si>
  <si>
    <t>Rozměr</t>
  </si>
  <si>
    <t>Charakteristika alexandrínu</t>
  </si>
  <si>
    <t>Alexandrín</t>
  </si>
  <si>
    <t>Struktura strofy</t>
  </si>
  <si>
    <t>Číslo rýmu</t>
  </si>
  <si>
    <t>Rýmové slovo 1</t>
  </si>
  <si>
    <t>Rýmové slovo 2</t>
  </si>
  <si>
    <t>Reduplikant</t>
  </si>
  <si>
    <t>Počet slabik v rýmu</t>
  </si>
  <si>
    <t>Zavřenost/otevřenost rýmu</t>
  </si>
  <si>
    <t>Rytmický celek na konci prvního verše</t>
  </si>
  <si>
    <t>Rytmický celek na konci druhého verše</t>
  </si>
  <si>
    <t xml:space="preserve">Rytmická struktura rýmu </t>
  </si>
  <si>
    <t>Slovní druh rýmového slova 1</t>
  </si>
  <si>
    <t>Slovní druh rýmového slova 2</t>
  </si>
  <si>
    <t>Slovnědruhová struktura rýmu</t>
  </si>
  <si>
    <t>Stupeň gramatického kontrastu</t>
  </si>
  <si>
    <t>Poznámka</t>
  </si>
  <si>
    <t>DT</t>
  </si>
  <si>
    <t>Ž</t>
  </si>
  <si>
    <t>x</t>
  </si>
  <si>
    <t>DTDTTŽ</t>
  </si>
  <si>
    <t>ABAB</t>
  </si>
  <si>
    <t>R1</t>
  </si>
  <si>
    <t>podzimními</t>
  </si>
  <si>
    <t>(s) nimi</t>
  </si>
  <si>
    <t>ňi:mi/ňimi</t>
  </si>
  <si>
    <t>O</t>
  </si>
  <si>
    <t>Adj</t>
  </si>
  <si>
    <t>Pron</t>
  </si>
  <si>
    <t>$, E</t>
  </si>
  <si>
    <t>J</t>
  </si>
  <si>
    <t>M</t>
  </si>
  <si>
    <t>R2</t>
  </si>
  <si>
    <t>ztracený</t>
  </si>
  <si>
    <t>sny</t>
  </si>
  <si>
    <t>ni:/ni</t>
  </si>
  <si>
    <t>N</t>
  </si>
  <si>
    <t>DDTDTŽ</t>
  </si>
  <si>
    <t>zpěvu</t>
  </si>
  <si>
    <t>hněvu</t>
  </si>
  <si>
    <t>evu</t>
  </si>
  <si>
    <t>na poplach</t>
  </si>
  <si>
    <t>(v) snách</t>
  </si>
  <si>
    <t>ach/a:ch</t>
  </si>
  <si>
    <t>Z</t>
  </si>
  <si>
    <t>Bohaté rýmy</t>
  </si>
  <si>
    <t>Značené v poznámce $</t>
  </si>
  <si>
    <t>pod prapory</t>
  </si>
  <si>
    <t>hory</t>
  </si>
  <si>
    <t>ori</t>
  </si>
  <si>
    <t>Rytmický celek na konci 1. verše</t>
  </si>
  <si>
    <t>Rytmický celek na konci 2. verše</t>
  </si>
  <si>
    <t>Rytmická struktura rýmu</t>
  </si>
  <si>
    <t>Slovní druh rýmovaného slova 1</t>
  </si>
  <si>
    <t>Slovní druh rýmovaného slova 2</t>
  </si>
  <si>
    <t>Stupeň gramatického konstrastu</t>
  </si>
  <si>
    <t>i rým echo</t>
  </si>
  <si>
    <t>T</t>
  </si>
  <si>
    <t>vlastnictví</t>
  </si>
  <si>
    <t>rvi</t>
  </si>
  <si>
    <t>vi:/vi</t>
  </si>
  <si>
    <t>V</t>
  </si>
  <si>
    <t>s nimi</t>
  </si>
  <si>
    <t>ANO</t>
  </si>
  <si>
    <t>zimy</t>
  </si>
  <si>
    <t>i:mi/imi</t>
  </si>
  <si>
    <t>dny</t>
  </si>
  <si>
    <t>neunikne</t>
  </si>
  <si>
    <t>vzlykne</t>
  </si>
  <si>
    <t>ikne</t>
  </si>
  <si>
    <t>Rýmy echo</t>
  </si>
  <si>
    <t>Značené v poznámce E</t>
  </si>
  <si>
    <t>živ</t>
  </si>
  <si>
    <t>dřív</t>
  </si>
  <si>
    <t>if/i:f</t>
  </si>
  <si>
    <t>Adv</t>
  </si>
  <si>
    <t>živ = živý jako subst., takto i IJP a SSČ</t>
  </si>
  <si>
    <t>i bohatý rým</t>
  </si>
  <si>
    <t>DDDTTŽ</t>
  </si>
  <si>
    <t>oklamaný</t>
  </si>
  <si>
    <t>hrany</t>
  </si>
  <si>
    <t>ani:/ani</t>
  </si>
  <si>
    <t>nevolal</t>
  </si>
  <si>
    <t>val</t>
  </si>
  <si>
    <t>al</t>
  </si>
  <si>
    <t>A/M</t>
  </si>
  <si>
    <t>J5Ž</t>
  </si>
  <si>
    <t>pD</t>
  </si>
  <si>
    <t>A</t>
  </si>
  <si>
    <t>DDTTTŽ</t>
  </si>
  <si>
    <t>Zavolej</t>
  </si>
  <si>
    <t>Nepřesné rýmy</t>
  </si>
  <si>
    <t>Výše značené xxx</t>
  </si>
  <si>
    <t>Typ nepřesného rýmu</t>
  </si>
  <si>
    <t>odpovídá</t>
  </si>
  <si>
    <t>vydá</t>
  </si>
  <si>
    <t>i:da:/ida:</t>
  </si>
  <si>
    <t>za němé</t>
  </si>
  <si>
    <t>ztracené</t>
  </si>
  <si>
    <t>e:</t>
  </si>
  <si>
    <t>asonance</t>
  </si>
  <si>
    <t>xxx</t>
  </si>
  <si>
    <t>neporaní</t>
  </si>
  <si>
    <t>strany</t>
  </si>
  <si>
    <t>aňi:/ani</t>
  </si>
  <si>
    <t>volalas</t>
  </si>
  <si>
    <t>hlas</t>
  </si>
  <si>
    <t>las</t>
  </si>
  <si>
    <t>$</t>
  </si>
  <si>
    <t>kokrhání</t>
  </si>
  <si>
    <t>a:ňi:/aňi:</t>
  </si>
  <si>
    <t>les</t>
  </si>
  <si>
    <t>pes</t>
  </si>
  <si>
    <t>es</t>
  </si>
  <si>
    <t>čehokoli</t>
  </si>
  <si>
    <t>bolí</t>
  </si>
  <si>
    <t>oli/oli:</t>
  </si>
  <si>
    <t>vi:da:/vida:</t>
  </si>
  <si>
    <t>člověka</t>
  </si>
  <si>
    <t>(z) daleka</t>
  </si>
  <si>
    <t>eka</t>
  </si>
  <si>
    <t>NE</t>
  </si>
  <si>
    <t>pDT</t>
  </si>
  <si>
    <t>pDDTTŽ</t>
  </si>
  <si>
    <t>Ještě jaro</t>
  </si>
  <si>
    <t>ABABABAB</t>
  </si>
  <si>
    <t>mém</t>
  </si>
  <si>
    <t>jsem</t>
  </si>
  <si>
    <t>e:m/em</t>
  </si>
  <si>
    <t>obrací</t>
  </si>
  <si>
    <t>krvácí</t>
  </si>
  <si>
    <t>aci:/a:ci:</t>
  </si>
  <si>
    <t>M/A</t>
  </si>
  <si>
    <t>jed</t>
  </si>
  <si>
    <t>květ</t>
  </si>
  <si>
    <t>jet</t>
  </si>
  <si>
    <t>alexandrín?</t>
  </si>
  <si>
    <t>R3</t>
  </si>
  <si>
    <t>probudí</t>
  </si>
  <si>
    <t>do hrudi</t>
  </si>
  <si>
    <t>uďi:/uďi</t>
  </si>
  <si>
    <t>uštknutí</t>
  </si>
  <si>
    <t>bez hnutí</t>
  </si>
  <si>
    <t>nuťi:</t>
  </si>
  <si>
    <t>R4</t>
  </si>
  <si>
    <t>ulomil</t>
  </si>
  <si>
    <t>cíl</t>
  </si>
  <si>
    <t>il/i:l</t>
  </si>
  <si>
    <t>zmámeném</t>
  </si>
  <si>
    <t>e:m</t>
  </si>
  <si>
    <t>cizí</t>
  </si>
  <si>
    <t>mízy</t>
  </si>
  <si>
    <t>izi:/i:zi</t>
  </si>
  <si>
    <t>(v) květ</t>
  </si>
  <si>
    <t>TDDM</t>
  </si>
  <si>
    <t>Ženy na ohnici</t>
  </si>
  <si>
    <t>nepoznáš</t>
  </si>
  <si>
    <t>stráž</t>
  </si>
  <si>
    <t>a:š</t>
  </si>
  <si>
    <t>nesklánějí</t>
  </si>
  <si>
    <t>pohlížejí</t>
  </si>
  <si>
    <t>eji:</t>
  </si>
  <si>
    <t>tvář</t>
  </si>
  <si>
    <t>a:</t>
  </si>
  <si>
    <t>položil</t>
  </si>
  <si>
    <t>skryl</t>
  </si>
  <si>
    <t>il</t>
  </si>
  <si>
    <t>ticha</t>
  </si>
  <si>
    <t>dýchá</t>
  </si>
  <si>
    <t>icha/i:cha:</t>
  </si>
  <si>
    <t>vdovy</t>
  </si>
  <si>
    <t>nový</t>
  </si>
  <si>
    <t>ovi/ovi:</t>
  </si>
  <si>
    <t>nepozná</t>
  </si>
  <si>
    <t>dna</t>
  </si>
  <si>
    <t>na:/na</t>
  </si>
  <si>
    <t>ceny</t>
  </si>
  <si>
    <t>překocený</t>
  </si>
  <si>
    <t>ceni/ceni:</t>
  </si>
  <si>
    <t>D</t>
  </si>
  <si>
    <t>taž</t>
  </si>
  <si>
    <t>a:š/aš</t>
  </si>
  <si>
    <t>plejí</t>
  </si>
  <si>
    <t>dej</t>
  </si>
  <si>
    <t>ptej</t>
  </si>
  <si>
    <t>ej</t>
  </si>
  <si>
    <t>zlatý</t>
  </si>
  <si>
    <t>hnáty</t>
  </si>
  <si>
    <t>ati:/a:ty</t>
  </si>
  <si>
    <t>nepoznán</t>
  </si>
  <si>
    <t>džbán</t>
  </si>
  <si>
    <t>a:n</t>
  </si>
  <si>
    <t>nepoznán – neurčitý slovesný tvar – příčestí trpné; mužský (živ.)  jmenný rod</t>
  </si>
  <si>
    <t>nenachýlí</t>
  </si>
  <si>
    <t>býlí</t>
  </si>
  <si>
    <t>i:li:</t>
  </si>
  <si>
    <t>DTTTTŽ</t>
  </si>
  <si>
    <t>TTDDA</t>
  </si>
  <si>
    <t>TTDTTŽ</t>
  </si>
  <si>
    <t>TTTDTŽ</t>
  </si>
  <si>
    <t>TTDTTTM</t>
  </si>
  <si>
    <t>TDDTTŽ</t>
  </si>
  <si>
    <t>Větroplach</t>
  </si>
  <si>
    <t>smíchem</t>
  </si>
  <si>
    <t>tichem</t>
  </si>
  <si>
    <t>i:chem/ichem</t>
  </si>
  <si>
    <t>sad</t>
  </si>
  <si>
    <t>spát</t>
  </si>
  <si>
    <t>at/a:t</t>
  </si>
  <si>
    <t>někam</t>
  </si>
  <si>
    <t>čekám</t>
  </si>
  <si>
    <t>ekam/eka:m</t>
  </si>
  <si>
    <t>bývalý</t>
  </si>
  <si>
    <t>zlý</t>
  </si>
  <si>
    <t>li:</t>
  </si>
  <si>
    <t>bleskem</t>
  </si>
  <si>
    <t>steskem</t>
  </si>
  <si>
    <t>eskem</t>
  </si>
  <si>
    <t>práh</t>
  </si>
  <si>
    <t>větroplach</t>
  </si>
  <si>
    <t>a:ch/ach</t>
  </si>
  <si>
    <t>jinam</t>
  </si>
  <si>
    <t>nezapomínám</t>
  </si>
  <si>
    <t>inam/i:na:m</t>
  </si>
  <si>
    <t>kříž</t>
  </si>
  <si>
    <t>přicházíš</t>
  </si>
  <si>
    <t>i:š</t>
  </si>
  <si>
    <t>zvát</t>
  </si>
  <si>
    <t>a:t</t>
  </si>
  <si>
    <t>DDDTŽ</t>
  </si>
  <si>
    <t>Na hřbitově</t>
  </si>
  <si>
    <t>svého</t>
  </si>
  <si>
    <t>zapomenutého</t>
  </si>
  <si>
    <t>e:ho</t>
  </si>
  <si>
    <t>ostýchá</t>
  </si>
  <si>
    <t>do ticha</t>
  </si>
  <si>
    <t>i:cha:/icha</t>
  </si>
  <si>
    <t>klín</t>
  </si>
  <si>
    <t>dým</t>
  </si>
  <si>
    <t>i:</t>
  </si>
  <si>
    <t>klestí</t>
  </si>
  <si>
    <t>ratolesti</t>
  </si>
  <si>
    <t>lesti:/lesti</t>
  </si>
  <si>
    <t>třísky</t>
  </si>
  <si>
    <t>blízký</t>
  </si>
  <si>
    <t>i:sky/i:ski:</t>
  </si>
  <si>
    <t>pně</t>
  </si>
  <si>
    <t>do ohně</t>
  </si>
  <si>
    <t>ňe</t>
  </si>
  <si>
    <t>listy</t>
  </si>
  <si>
    <t>jistý</t>
  </si>
  <si>
    <t>isti/isti:</t>
  </si>
  <si>
    <t>lesťi:/lesťi</t>
  </si>
  <si>
    <t>nečtených</t>
  </si>
  <si>
    <t>tvých</t>
  </si>
  <si>
    <t>i:ch</t>
  </si>
  <si>
    <t>v prach</t>
  </si>
  <si>
    <t>strach</t>
  </si>
  <si>
    <t>rax</t>
  </si>
  <si>
    <t>touha</t>
  </si>
  <si>
    <t>rouhá</t>
  </si>
  <si>
    <t>ouha/ouha:</t>
  </si>
  <si>
    <t>snů</t>
  </si>
  <si>
    <t>(z) plamenů</t>
  </si>
  <si>
    <t>nu:</t>
  </si>
  <si>
    <t>žárem</t>
  </si>
  <si>
    <t>zmarem</t>
  </si>
  <si>
    <t>a:rem/arem</t>
  </si>
  <si>
    <t>(v) prach</t>
  </si>
  <si>
    <t>rach</t>
  </si>
  <si>
    <t>peci</t>
  </si>
  <si>
    <t>eci/e:ci</t>
  </si>
  <si>
    <t>hřbitova</t>
  </si>
  <si>
    <t>pochová</t>
  </si>
  <si>
    <t>ova/ova:</t>
  </si>
  <si>
    <t>nevidět</t>
  </si>
  <si>
    <t>et</t>
  </si>
  <si>
    <t>pD3A</t>
  </si>
  <si>
    <t>Rekonvalescent</t>
  </si>
  <si>
    <t>jaru</t>
  </si>
  <si>
    <t>zmaru</t>
  </si>
  <si>
    <t>aru</t>
  </si>
  <si>
    <t>bez Boha</t>
  </si>
  <si>
    <t>obloha</t>
  </si>
  <si>
    <t>oha</t>
  </si>
  <si>
    <t>otevřela</t>
  </si>
  <si>
    <t>uzardělá</t>
  </si>
  <si>
    <t>ela/ela:</t>
  </si>
  <si>
    <t>med</t>
  </si>
  <si>
    <t>zmrtvýchvstání</t>
  </si>
  <si>
    <t>umírání</t>
  </si>
  <si>
    <t>a:ňi:</t>
  </si>
  <si>
    <t>nalehlos</t>
  </si>
  <si>
    <t>kos</t>
  </si>
  <si>
    <t>os</t>
  </si>
  <si>
    <t>volá</t>
  </si>
  <si>
    <t>zdola</t>
  </si>
  <si>
    <t>ola:/ola</t>
  </si>
  <si>
    <t>skal</t>
  </si>
  <si>
    <t>sval</t>
  </si>
  <si>
    <t>průpějemi</t>
  </si>
  <si>
    <t>němý</t>
  </si>
  <si>
    <t>emi/emi:</t>
  </si>
  <si>
    <t>vyprýští</t>
  </si>
  <si>
    <t>bojišti</t>
  </si>
  <si>
    <t>i:šťi:/išťi</t>
  </si>
  <si>
    <t>Píseň o studni</t>
  </si>
  <si>
    <t>vbitá</t>
  </si>
  <si>
    <t>neuvítá</t>
  </si>
  <si>
    <t>ita:/i:ta:</t>
  </si>
  <si>
    <t>zjevení</t>
  </si>
  <si>
    <t>mlčení</t>
  </si>
  <si>
    <t>eňi:</t>
  </si>
  <si>
    <t>oblásky</t>
  </si>
  <si>
    <t>bez lásky</t>
  </si>
  <si>
    <t>la:ski</t>
  </si>
  <si>
    <t>studni</t>
  </si>
  <si>
    <t>nad prohlubní</t>
  </si>
  <si>
    <t>ňi/ňi:</t>
  </si>
  <si>
    <t>ze svévole</t>
  </si>
  <si>
    <t>dole</t>
  </si>
  <si>
    <t>ole</t>
  </si>
  <si>
    <t>hlubina</t>
  </si>
  <si>
    <t>vzpomíná</t>
  </si>
  <si>
    <t>ina/i:na:</t>
  </si>
  <si>
    <t>snění</t>
  </si>
  <si>
    <t>přes roubení</t>
  </si>
  <si>
    <t>cit</t>
  </si>
  <si>
    <t>znít</t>
  </si>
  <si>
    <t>it/i:t</t>
  </si>
  <si>
    <t>nevyčítá</t>
  </si>
  <si>
    <t>i:ta:</t>
  </si>
  <si>
    <t>Spáči mluví ze sna</t>
  </si>
  <si>
    <t>jste</t>
  </si>
  <si>
    <t>bezlisté</t>
  </si>
  <si>
    <t>ste/ste:</t>
  </si>
  <si>
    <t>ten</t>
  </si>
  <si>
    <t>sen</t>
  </si>
  <si>
    <t>en</t>
  </si>
  <si>
    <t>shledání</t>
  </si>
  <si>
    <t>ze spaní</t>
  </si>
  <si>
    <t>žil</t>
  </si>
  <si>
    <t>jmen</t>
  </si>
  <si>
    <t>tvým</t>
  </si>
  <si>
    <t>nepovím</t>
  </si>
  <si>
    <t>vi:m</t>
  </si>
  <si>
    <t>bez jména</t>
  </si>
  <si>
    <t>pohřbená</t>
  </si>
  <si>
    <t>e:na/ena:</t>
  </si>
  <si>
    <t>tiš</t>
  </si>
  <si>
    <t>spíš</t>
  </si>
  <si>
    <t>iš/i:š</t>
  </si>
  <si>
    <t>tiš - poetismus - N</t>
  </si>
  <si>
    <t>bezlistý</t>
  </si>
  <si>
    <t>ty</t>
  </si>
  <si>
    <t>ti:/ti</t>
  </si>
  <si>
    <t>E</t>
  </si>
  <si>
    <t>pTDDDM</t>
  </si>
  <si>
    <t>Kvetoucí mohyla</t>
  </si>
  <si>
    <t>nevychládající</t>
  </si>
  <si>
    <t>popelnici</t>
  </si>
  <si>
    <t>i:ci:/ici</t>
  </si>
  <si>
    <t>DTDTTM</t>
  </si>
  <si>
    <t>plen</t>
  </si>
  <si>
    <t>tvou</t>
  </si>
  <si>
    <t>mohylou</t>
  </si>
  <si>
    <t>ou</t>
  </si>
  <si>
    <t>zchromenýma</t>
  </si>
  <si>
    <t>dýmá</t>
  </si>
  <si>
    <t>i:ma/i:ma:</t>
  </si>
  <si>
    <t>pohlazení</t>
  </si>
  <si>
    <t>není</t>
  </si>
  <si>
    <t>zrak</t>
  </si>
  <si>
    <t>vrak</t>
  </si>
  <si>
    <t>rak</t>
  </si>
  <si>
    <t>nedržely</t>
  </si>
  <si>
    <t>odmlčely</t>
  </si>
  <si>
    <t>eli</t>
  </si>
  <si>
    <t>půst</t>
  </si>
  <si>
    <t>úst</t>
  </si>
  <si>
    <t>u:st</t>
  </si>
  <si>
    <t>trůn</t>
  </si>
  <si>
    <t>strun</t>
  </si>
  <si>
    <t>tru:n/trun</t>
  </si>
  <si>
    <t>celá</t>
  </si>
  <si>
    <t>nedržela</t>
  </si>
  <si>
    <t>ela:/ela</t>
  </si>
  <si>
    <t>údů</t>
  </si>
  <si>
    <t>osudu</t>
  </si>
  <si>
    <t>u:du:/udu</t>
  </si>
  <si>
    <t>celé</t>
  </si>
  <si>
    <t>těle</t>
  </si>
  <si>
    <t>ele:/ele</t>
  </si>
  <si>
    <t>zkvetlo</t>
  </si>
  <si>
    <t>světlo</t>
  </si>
  <si>
    <t>etlo</t>
  </si>
  <si>
    <t>strží</t>
  </si>
  <si>
    <t>nedrží</t>
  </si>
  <si>
    <t>rži:</t>
  </si>
  <si>
    <t>bez údů</t>
  </si>
  <si>
    <t>břehy</t>
  </si>
  <si>
    <t>něhy</t>
  </si>
  <si>
    <t>ehi</t>
  </si>
  <si>
    <t>uvitá</t>
  </si>
  <si>
    <t>rozbitá</t>
  </si>
  <si>
    <t>ita:</t>
  </si>
  <si>
    <t>DTDDA</t>
  </si>
  <si>
    <t>Slunovrat</t>
  </si>
  <si>
    <t>Sloka</t>
  </si>
  <si>
    <t>1.</t>
  </si>
  <si>
    <t>zavonění</t>
  </si>
  <si>
    <t>kuropění</t>
  </si>
  <si>
    <t>DDTDA</t>
  </si>
  <si>
    <t>ucítí</t>
  </si>
  <si>
    <t>nebytí</t>
  </si>
  <si>
    <t>i:ťi:/iťi:</t>
  </si>
  <si>
    <t>nad Betlemem</t>
  </si>
  <si>
    <t>vyvražděném</t>
  </si>
  <si>
    <t>emem/ene:m</t>
  </si>
  <si>
    <t>slunovratu</t>
  </si>
  <si>
    <t>zvratu</t>
  </si>
  <si>
    <t>vratu</t>
  </si>
  <si>
    <t>v štít</t>
  </si>
  <si>
    <t>třpyt</t>
  </si>
  <si>
    <t>i:t/it</t>
  </si>
  <si>
    <t>2.</t>
  </si>
  <si>
    <t>chlév</t>
  </si>
  <si>
    <t>krev</t>
  </si>
  <si>
    <t>e:f/ef</t>
  </si>
  <si>
    <t>Spasitele</t>
  </si>
  <si>
    <t>čele</t>
  </si>
  <si>
    <t>ele</t>
  </si>
  <si>
    <t>král</t>
  </si>
  <si>
    <t>a:l/al</t>
  </si>
  <si>
    <t>3.</t>
  </si>
  <si>
    <t>rozehnali</t>
  </si>
  <si>
    <t>králi</t>
  </si>
  <si>
    <t>ali/a:li</t>
  </si>
  <si>
    <t>hvězd</t>
  </si>
  <si>
    <t>cest</t>
  </si>
  <si>
    <t>est</t>
  </si>
  <si>
    <t>M/Ž</t>
  </si>
  <si>
    <t>dáví</t>
  </si>
  <si>
    <t>slávy</t>
  </si>
  <si>
    <t>a:vi:/a:vi</t>
  </si>
  <si>
    <t>dům</t>
  </si>
  <si>
    <t>rtům</t>
  </si>
  <si>
    <t>u:m</t>
  </si>
  <si>
    <t>4.</t>
  </si>
  <si>
    <t>5.</t>
  </si>
  <si>
    <t>Hromnice hoří</t>
  </si>
  <si>
    <t>DDTTŽ</t>
  </si>
  <si>
    <t>AABBCC</t>
  </si>
  <si>
    <t>nerozžíhá</t>
  </si>
  <si>
    <t>míhá</t>
  </si>
  <si>
    <t>i:ha:</t>
  </si>
  <si>
    <t>svěcenou</t>
  </si>
  <si>
    <t>červenou</t>
  </si>
  <si>
    <t>enou</t>
  </si>
  <si>
    <t>AABBCDCD</t>
  </si>
  <si>
    <t>rosy</t>
  </si>
  <si>
    <t>prosí</t>
  </si>
  <si>
    <t>rosi/rosi:</t>
  </si>
  <si>
    <t>bíle</t>
  </si>
  <si>
    <t>chvíle</t>
  </si>
  <si>
    <t>i:le</t>
  </si>
  <si>
    <t>léta</t>
  </si>
  <si>
    <t>vzlétá</t>
  </si>
  <si>
    <t>le:ta:</t>
  </si>
  <si>
    <t>nezaklíná</t>
  </si>
  <si>
    <t>siná</t>
  </si>
  <si>
    <t>i:na:/ina:</t>
  </si>
  <si>
    <t>den</t>
  </si>
  <si>
    <t>neprostřen</t>
  </si>
  <si>
    <t>neprostřen - příčestí trpné (neurčitý slovesný tvar)</t>
  </si>
  <si>
    <t>víry</t>
  </si>
  <si>
    <t>sirý</t>
  </si>
  <si>
    <t>i:ri/iri:</t>
  </si>
  <si>
    <t>svíci</t>
  </si>
  <si>
    <t>nevěřící</t>
  </si>
  <si>
    <t>i:ci/i:ci:</t>
  </si>
  <si>
    <t>nevěřící - substantizované adjektivum? (je to oslovení?)</t>
  </si>
  <si>
    <t>zdobenou</t>
  </si>
  <si>
    <t>půli</t>
  </si>
  <si>
    <t>úly</t>
  </si>
  <si>
    <t>u:li</t>
  </si>
  <si>
    <t>chýlí</t>
  </si>
  <si>
    <t>červenobílý</t>
  </si>
  <si>
    <t>jamb+trochej</t>
  </si>
  <si>
    <t>(k) půli</t>
  </si>
  <si>
    <t>stojící</t>
  </si>
  <si>
    <t>na svíci</t>
  </si>
  <si>
    <t>i:ci:/i:ci</t>
  </si>
  <si>
    <t>boji</t>
  </si>
  <si>
    <t>roji</t>
  </si>
  <si>
    <t>oji</t>
  </si>
  <si>
    <t>středu</t>
  </si>
  <si>
    <t>medu</t>
  </si>
  <si>
    <t>edu</t>
  </si>
  <si>
    <t>běl</t>
  </si>
  <si>
    <t>včel</t>
  </si>
  <si>
    <t>el</t>
  </si>
  <si>
    <t>malovanou</t>
  </si>
  <si>
    <t>kanou</t>
  </si>
  <si>
    <t>anou</t>
  </si>
  <si>
    <t>mámivá</t>
  </si>
  <si>
    <t>rozplývá</t>
  </si>
  <si>
    <t>iva:/i:va:</t>
  </si>
  <si>
    <t>le:ta/le:ta:</t>
  </si>
  <si>
    <t>hřmícím</t>
  </si>
  <si>
    <t>mžícím</t>
  </si>
  <si>
    <t>i:ci:m</t>
  </si>
  <si>
    <t>TDDTŽ</t>
  </si>
  <si>
    <t>jamb</t>
  </si>
  <si>
    <t>trochej</t>
  </si>
  <si>
    <t>daktyl</t>
  </si>
  <si>
    <t>daktyl s předrážkou</t>
  </si>
  <si>
    <t>daktylotrochej</t>
  </si>
  <si>
    <t>daktylotrochej s předrážkou</t>
  </si>
  <si>
    <t>daktylské incipity (na počátku jambických veršů)</t>
  </si>
  <si>
    <t>pětislabičné incipity (na počátku jambických veršů)</t>
  </si>
  <si>
    <t>klauzule mužské</t>
  </si>
  <si>
    <t xml:space="preserve">klauzule ženské </t>
  </si>
  <si>
    <t xml:space="preserve">klauzule akatalektické </t>
  </si>
  <si>
    <t>%</t>
  </si>
  <si>
    <t>CELKEM VERŠŮ</t>
  </si>
  <si>
    <t>jamb s jednoslabičným incipitem</t>
  </si>
  <si>
    <t>jamb s daktylským incipitem</t>
  </si>
  <si>
    <t>jamb s pětislabičným incipitem</t>
  </si>
  <si>
    <t xml:space="preserve">klauzule mužské </t>
  </si>
  <si>
    <t>CELKEM</t>
  </si>
  <si>
    <t>SEŘADIT!</t>
  </si>
  <si>
    <t>J1Ž</t>
  </si>
  <si>
    <t>J5M</t>
  </si>
  <si>
    <t>J2M</t>
  </si>
  <si>
    <t>J2Ž</t>
  </si>
  <si>
    <t>alexandrín ženský (6 + 7)</t>
  </si>
  <si>
    <t>J3M</t>
  </si>
  <si>
    <t>alexandrín mužský (6 + 6)</t>
  </si>
  <si>
    <t>J4M</t>
  </si>
  <si>
    <t>J4Ž</t>
  </si>
  <si>
    <t>J6M</t>
  </si>
  <si>
    <t>J6Ž</t>
  </si>
  <si>
    <t>T5M</t>
  </si>
  <si>
    <t>T5Ž</t>
  </si>
  <si>
    <t>D3A</t>
  </si>
  <si>
    <t>DT3M</t>
  </si>
  <si>
    <t>D4Ž</t>
  </si>
  <si>
    <t>DT4A</t>
  </si>
  <si>
    <t>DT4Ž</t>
  </si>
  <si>
    <t>Souhrnný rozměr</t>
  </si>
  <si>
    <t>pD4A</t>
  </si>
  <si>
    <t>DT5Ž</t>
  </si>
  <si>
    <t>DT5M</t>
  </si>
  <si>
    <t>DT6M</t>
  </si>
  <si>
    <t>pDT4Ž</t>
  </si>
  <si>
    <t>pDT4M</t>
  </si>
  <si>
    <t>TTDDTŽ</t>
  </si>
  <si>
    <t>POŘADÍ</t>
  </si>
  <si>
    <t>J1</t>
  </si>
  <si>
    <t>J5</t>
  </si>
  <si>
    <t>J2</t>
  </si>
  <si>
    <t>alexandrín</t>
  </si>
  <si>
    <t>J3</t>
  </si>
  <si>
    <t>J4</t>
  </si>
  <si>
    <t>DT5</t>
  </si>
  <si>
    <t>DT4</t>
  </si>
  <si>
    <t>J6</t>
  </si>
  <si>
    <t>pD3</t>
  </si>
  <si>
    <t>T5</t>
  </si>
  <si>
    <t>D3</t>
  </si>
  <si>
    <t>D4</t>
  </si>
  <si>
    <t>pDT4</t>
  </si>
  <si>
    <t>pD4</t>
  </si>
  <si>
    <t>DT3</t>
  </si>
  <si>
    <t>DT6</t>
  </si>
  <si>
    <t>počet</t>
  </si>
  <si>
    <t>celkem</t>
  </si>
  <si>
    <t>Zavřenost /
otevřenost rýmu</t>
  </si>
  <si>
    <t>otevřený</t>
  </si>
  <si>
    <t>zavřený</t>
  </si>
  <si>
    <t>Rytmické celky na konci veršů</t>
  </si>
  <si>
    <t>1/1</t>
  </si>
  <si>
    <t>stejný počet</t>
  </si>
  <si>
    <t>1/3</t>
  </si>
  <si>
    <t>4/4</t>
  </si>
  <si>
    <t>2/2</t>
  </si>
  <si>
    <t>klesavý rým</t>
  </si>
  <si>
    <t>2/4</t>
  </si>
  <si>
    <t>stoupavý rým</t>
  </si>
  <si>
    <t>2/5</t>
  </si>
  <si>
    <t>2/6</t>
  </si>
  <si>
    <t>3/1</t>
  </si>
  <si>
    <t>3/3</t>
  </si>
  <si>
    <t>4/2</t>
  </si>
  <si>
    <t>6/4</t>
  </si>
  <si>
    <t>Slovní druhy rýmovaných slov</t>
  </si>
  <si>
    <t>substantiva</t>
  </si>
  <si>
    <t>adjektiva</t>
  </si>
  <si>
    <t>pronomina</t>
  </si>
  <si>
    <t>numeralia</t>
  </si>
  <si>
    <t>verba</t>
  </si>
  <si>
    <t>adverbia</t>
  </si>
  <si>
    <t>prepozice</t>
  </si>
  <si>
    <t>konjunkce</t>
  </si>
  <si>
    <t>partikule</t>
  </si>
  <si>
    <t>interjekce</t>
  </si>
  <si>
    <t>N+N</t>
  </si>
  <si>
    <t>N+Adj</t>
  </si>
  <si>
    <t>N+Adj / Adj+N</t>
  </si>
  <si>
    <t>N+Pron</t>
  </si>
  <si>
    <t>N+Pron / Pron+N</t>
  </si>
  <si>
    <t>N+V</t>
  </si>
  <si>
    <t>N+V / V+N</t>
  </si>
  <si>
    <t>N+Adv</t>
  </si>
  <si>
    <t>N+Adv / Adv+N</t>
  </si>
  <si>
    <t>Adj+N</t>
  </si>
  <si>
    <t>Adj+Adj</t>
  </si>
  <si>
    <t>Adj+Pron / Pron+Adj</t>
  </si>
  <si>
    <t>Adj+Pron</t>
  </si>
  <si>
    <t>Adj+V / V+Adj</t>
  </si>
  <si>
    <t>Adj+V</t>
  </si>
  <si>
    <t>Adj+Adv / Adv+Adj</t>
  </si>
  <si>
    <t>Adj+Adv</t>
  </si>
  <si>
    <t>Pron+Pron</t>
  </si>
  <si>
    <t>Pron+N</t>
  </si>
  <si>
    <t>Pron+V / V+Pron</t>
  </si>
  <si>
    <t>Pron+Adj</t>
  </si>
  <si>
    <t>Pron+Adv / Adv+Pron</t>
  </si>
  <si>
    <t>Pron+V</t>
  </si>
  <si>
    <t>V+V</t>
  </si>
  <si>
    <t>Pron+Adv</t>
  </si>
  <si>
    <t>V+Adv / Adv+V</t>
  </si>
  <si>
    <t>V+N</t>
  </si>
  <si>
    <t>Adv+Adv</t>
  </si>
  <si>
    <t>V+Adj</t>
  </si>
  <si>
    <t>V+Pron</t>
  </si>
  <si>
    <t>V+Adv</t>
  </si>
  <si>
    <t>Adv+N</t>
  </si>
  <si>
    <t>Adv+Adj</t>
  </si>
  <si>
    <t>Adv+Pron</t>
  </si>
  <si>
    <t>Adv+V</t>
  </si>
  <si>
    <t>Podíl nepřesných rýmů ku všem</t>
  </si>
  <si>
    <t>VŠECHNY JSOU ASONANCE</t>
  </si>
  <si>
    <t>barva = v této básni jsou nepřesné rýmy</t>
  </si>
  <si>
    <t xml:space="preserve">Bohaté rýmy </t>
  </si>
  <si>
    <t>Celkem</t>
  </si>
  <si>
    <t>Procento ze všech</t>
  </si>
  <si>
    <t xml:space="preserve"> Stejný počet slabik</t>
  </si>
  <si>
    <t xml:space="preserve"> Klesavý rým</t>
  </si>
  <si>
    <t xml:space="preserve"> Stoupavý rým</t>
  </si>
  <si>
    <t xml:space="preserve">celkem </t>
  </si>
  <si>
    <t>Bohatý + 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</si>
</sst>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00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5">
    <xf numFmtId="0" fontId="0" fillId="0" borderId="0" xfId="0"/>
    <xf numFmtId="0" fontId="2" fillId="2" borderId="0" xfId="0" applyFont="1" applyFill="1"/>
    <xf numFmtId="0" fontId="0" fillId="3" borderId="0" xfId="0" applyFill="1"/>
    <xf numFmtId="0" fontId="1" fillId="0" borderId="0" xfId="0" applyFont="1"/>
    <xf numFmtId="0" fontId="2" fillId="0" borderId="0" xfId="0" applyFont="1"/>
    <xf numFmtId="10" fontId="0" fillId="0" borderId="0" xfId="0" applyNumberFormat="1"/>
    <xf numFmtId="10" fontId="2" fillId="0" borderId="0" xfId="0" applyNumberFormat="1" applyFont="1"/>
    <xf numFmtId="0" fontId="5" fillId="0" borderId="0" xfId="0" applyFont="1"/>
    <xf numFmtId="0" fontId="0" fillId="0" borderId="0" xfId="0" applyAlignment="1">
      <alignment horizontal="center" vertical="center"/>
    </xf>
    <xf numFmtId="10" fontId="0" fillId="0" borderId="0" xfId="1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49" fontId="0" fillId="0" borderId="0" xfId="0" applyNumberFormat="1"/>
    <xf numFmtId="9" fontId="0" fillId="0" borderId="0" xfId="1" applyFont="1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6" fillId="0" borderId="0" xfId="0" applyFont="1"/>
    <xf numFmtId="0" fontId="7" fillId="2" borderId="0" xfId="0" applyFont="1" applyFill="1"/>
    <xf numFmtId="0" fontId="7" fillId="0" borderId="0" xfId="0" applyFont="1"/>
    <xf numFmtId="10" fontId="2" fillId="2" borderId="0" xfId="0" applyNumberFormat="1" applyFont="1" applyFill="1"/>
    <xf numFmtId="0" fontId="0" fillId="4" borderId="0" xfId="0" applyFill="1"/>
    <xf numFmtId="0" fontId="0" fillId="4" borderId="1" xfId="0" applyFill="1" applyBorder="1"/>
    <xf numFmtId="0" fontId="8" fillId="0" borderId="0" xfId="0" applyFont="1"/>
    <xf numFmtId="0" fontId="0" fillId="2" borderId="0" xfId="0" applyFill="1"/>
    <xf numFmtId="0" fontId="9" fillId="0" borderId="0" xfId="0" applyFont="1"/>
    <xf numFmtId="0" fontId="0" fillId="0" borderId="0" xfId="0" applyAlignment="1">
      <alignment vertical="center"/>
    </xf>
    <xf numFmtId="0" fontId="0" fillId="0" borderId="13" xfId="0" applyBorder="1"/>
    <xf numFmtId="49" fontId="0" fillId="0" borderId="0" xfId="0" applyNumberFormat="1" applyAlignment="1">
      <alignment horizontal="right"/>
    </xf>
    <xf numFmtId="0" fontId="0" fillId="0" borderId="5" xfId="0" applyBorder="1"/>
    <xf numFmtId="0" fontId="0" fillId="0" borderId="14" xfId="0" applyBorder="1"/>
    <xf numFmtId="0" fontId="0" fillId="0" borderId="6" xfId="0" applyBorder="1"/>
    <xf numFmtId="0" fontId="0" fillId="0" borderId="11" xfId="0" applyBorder="1"/>
    <xf numFmtId="0" fontId="0" fillId="0" borderId="15" xfId="0" applyBorder="1"/>
    <xf numFmtId="0" fontId="0" fillId="0" borderId="7" xfId="0" applyBorder="1"/>
    <xf numFmtId="0" fontId="0" fillId="0" borderId="16" xfId="0" applyBorder="1"/>
    <xf numFmtId="0" fontId="0" fillId="0" borderId="8" xfId="0" applyBorder="1"/>
    <xf numFmtId="0" fontId="0" fillId="0" borderId="9" xfId="0" applyBorder="1"/>
    <xf numFmtId="10" fontId="1" fillId="0" borderId="0" xfId="0" applyNumberFormat="1" applyFont="1"/>
    <xf numFmtId="0" fontId="0" fillId="0" borderId="12" xfId="0" applyBorder="1"/>
    <xf numFmtId="0" fontId="0" fillId="0" borderId="10" xfId="0" applyBorder="1"/>
    <xf numFmtId="164" fontId="0" fillId="0" borderId="9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0" fontId="0" fillId="7" borderId="9" xfId="0" applyFill="1" applyBorder="1"/>
    <xf numFmtId="0" fontId="0" fillId="7" borderId="9" xfId="0" applyFill="1" applyBorder="1" applyAlignment="1">
      <alignment horizontal="center" vertical="center"/>
    </xf>
    <xf numFmtId="49" fontId="0" fillId="7" borderId="17" xfId="0" applyNumberFormat="1" applyFill="1" applyBorder="1" applyAlignment="1">
      <alignment horizontal="right"/>
    </xf>
    <xf numFmtId="49" fontId="0" fillId="7" borderId="5" xfId="0" applyNumberFormat="1" applyFill="1" applyBorder="1" applyAlignment="1">
      <alignment horizontal="right"/>
    </xf>
    <xf numFmtId="0" fontId="0" fillId="7" borderId="17" xfId="0" applyFill="1" applyBorder="1" applyAlignment="1">
      <alignment horizontal="right"/>
    </xf>
    <xf numFmtId="49" fontId="0" fillId="3" borderId="17" xfId="0" applyNumberFormat="1" applyFill="1" applyBorder="1" applyAlignment="1">
      <alignment horizontal="right"/>
    </xf>
    <xf numFmtId="49" fontId="0" fillId="3" borderId="5" xfId="0" applyNumberFormat="1" applyFill="1" applyBorder="1" applyAlignment="1">
      <alignment horizontal="right"/>
    </xf>
    <xf numFmtId="0" fontId="0" fillId="3" borderId="9" xfId="0" applyFill="1" applyBorder="1"/>
    <xf numFmtId="0" fontId="0" fillId="3" borderId="9" xfId="0" applyFill="1" applyBorder="1" applyAlignment="1">
      <alignment horizontal="center" vertical="center"/>
    </xf>
    <xf numFmtId="0" fontId="0" fillId="3" borderId="17" xfId="0" applyFill="1" applyBorder="1" applyAlignment="1">
      <alignment horizontal="right"/>
    </xf>
    <xf numFmtId="9" fontId="0" fillId="0" borderId="13" xfId="0" applyNumberFormat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7" borderId="13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left" vertical="center"/>
    </xf>
    <xf numFmtId="0" fontId="0" fillId="7" borderId="17" xfId="0" applyFill="1" applyBorder="1" applyAlignment="1">
      <alignment horizontal="left" vertical="center"/>
    </xf>
    <xf numFmtId="0" fontId="0" fillId="7" borderId="13" xfId="0" applyFill="1" applyBorder="1" applyAlignment="1">
      <alignment horizontal="right" vertical="center"/>
    </xf>
    <xf numFmtId="0" fontId="0" fillId="0" borderId="17" xfId="0" applyBorder="1"/>
    <xf numFmtId="9" fontId="0" fillId="0" borderId="13" xfId="0" applyNumberFormat="1" applyBorder="1"/>
    <xf numFmtId="0" fontId="0" fillId="3" borderId="13" xfId="0" applyFill="1" applyBorder="1" applyAlignment="1">
      <alignment horizontal="center" vertical="center"/>
    </xf>
    <xf numFmtId="0" fontId="0" fillId="3" borderId="13" xfId="0" applyFill="1" applyBorder="1" applyAlignment="1">
      <alignment horizontal="left" vertical="center"/>
    </xf>
    <xf numFmtId="0" fontId="0" fillId="3" borderId="17" xfId="0" applyFill="1" applyBorder="1" applyAlignment="1">
      <alignment horizontal="left" vertical="center"/>
    </xf>
    <xf numFmtId="0" fontId="0" fillId="3" borderId="13" xfId="0" applyFill="1" applyBorder="1" applyAlignment="1">
      <alignment horizontal="right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colors>
    <mruColors>
      <color rgb="FFCF72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5A5-4D8C-BD52-8EDA200529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5A5-4D8C-BD52-8EDA200529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5A5-4D8C-BD52-8EDA2005295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metrum!$C$27:$C$29</c:f>
              <c:strCache>
                <c:ptCount val="3"/>
                <c:pt idx="0">
                  <c:v>jamb s jednoslabičným incipitem</c:v>
                </c:pt>
                <c:pt idx="1">
                  <c:v>jamb s daktylským incipitem</c:v>
                </c:pt>
                <c:pt idx="2">
                  <c:v>jamb s pětislabičným incipitem</c:v>
                </c:pt>
              </c:strCache>
            </c:strRef>
          </c:cat>
          <c:val>
            <c:numRef>
              <c:f>metrum!$D$27:$D$29</c:f>
              <c:numCache>
                <c:formatCode>General</c:formatCode>
                <c:ptCount val="3"/>
                <c:pt idx="0">
                  <c:v>136</c:v>
                </c:pt>
                <c:pt idx="1">
                  <c:v>90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1-482C-9CE2-8F4C56BC9E7C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5A5-4D8C-BD52-8EDA200529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5A5-4D8C-BD52-8EDA200529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5A5-4D8C-BD52-8EDA2005295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metrum!$C$27:$C$29</c:f>
              <c:strCache>
                <c:ptCount val="3"/>
                <c:pt idx="0">
                  <c:v>jamb s jednoslabičným incipitem</c:v>
                </c:pt>
                <c:pt idx="1">
                  <c:v>jamb s daktylským incipitem</c:v>
                </c:pt>
                <c:pt idx="2">
                  <c:v>jamb s pětislabičným incipitem</c:v>
                </c:pt>
              </c:strCache>
            </c:strRef>
          </c:cat>
          <c:val>
            <c:numRef>
              <c:f>metrum!$E$27:$E$29</c:f>
              <c:numCache>
                <c:formatCode>0.00%</c:formatCode>
                <c:ptCount val="3"/>
                <c:pt idx="0">
                  <c:v>0.58874458874458879</c:v>
                </c:pt>
                <c:pt idx="1">
                  <c:v>0.38961038961038963</c:v>
                </c:pt>
                <c:pt idx="2">
                  <c:v>2.1645021645021644E-2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A1-482C-9CE2-8F4C56BC9E7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5E7-4494-A6A4-8BD0A91B98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5E7-4494-A6A4-8BD0A91B98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5E7-4494-A6A4-8BD0A91B987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metrum!$C$32:$C$34</c:f>
              <c:strCache>
                <c:ptCount val="3"/>
                <c:pt idx="0">
                  <c:v>klauzule mužské </c:v>
                </c:pt>
                <c:pt idx="1">
                  <c:v>klauzule ženské </c:v>
                </c:pt>
                <c:pt idx="2">
                  <c:v>klauzule akatalektické </c:v>
                </c:pt>
              </c:strCache>
            </c:strRef>
          </c:cat>
          <c:val>
            <c:numRef>
              <c:f>metrum!$D$32:$D$34</c:f>
              <c:numCache>
                <c:formatCode>General</c:formatCode>
                <c:ptCount val="3"/>
                <c:pt idx="0">
                  <c:v>132</c:v>
                </c:pt>
                <c:pt idx="1">
                  <c:v>142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E7-4494-A6A4-8BD0A91B9873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67E-4675-A0F9-DF40CBEA0E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67E-4675-A0F9-DF40CBEA0E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67E-4675-A0F9-DF40CBEA0E6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metrum!$C$32:$C$34</c:f>
              <c:strCache>
                <c:ptCount val="3"/>
                <c:pt idx="0">
                  <c:v>klauzule mužské </c:v>
                </c:pt>
                <c:pt idx="1">
                  <c:v>klauzule ženské </c:v>
                </c:pt>
                <c:pt idx="2">
                  <c:v>klauzule akatalektické </c:v>
                </c:pt>
              </c:strCache>
            </c:strRef>
          </c:cat>
          <c:val>
            <c:numRef>
              <c:f>metrum!$E$32:$E$34</c:f>
              <c:numCache>
                <c:formatCode>0.00%</c:formatCode>
                <c:ptCount val="3"/>
                <c:pt idx="0">
                  <c:v>0.45517241379310347</c:v>
                </c:pt>
                <c:pt idx="1">
                  <c:v>0.48965517241379308</c:v>
                </c:pt>
                <c:pt idx="2">
                  <c:v>5.5172413793103448E-2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E7-4494-A6A4-8BD0A91B987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treemap" uniqueId="{84900F80-5047-431B-9DA3-75AD74BEA7B6}">
          <cx:dataLabels pos="ctr">
            <cx:spPr>
              <a:noFill/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2400"/>
                </a:pPr>
                <a:endParaRPr lang="cs-CZ" sz="24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1"/>
            <cx:separator>
</cx:separator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3600"/>
                  </a:pPr>
                  <a:r>
                    <a:rPr lang="cs-CZ" sz="3600" b="0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</a:rPr>
                    <a:t>J
79,66%</a:t>
                  </a:r>
                </a:p>
              </cx:txPr>
              <cx:visibility seriesName="0" categoryName="1" value="1"/>
              <cx:separator>
</cx:separator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000"/>
                  </a:pPr>
                  <a:r>
                    <a:rPr lang="cs-CZ" sz="2000" b="0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</a:rPr>
                    <a:t>T
2,07%</a:t>
                  </a:r>
                </a:p>
              </cx:txPr>
              <cx:visibility seriesName="0" categoryName="1" value="1"/>
              <cx:separator>
</cx:separator>
            </cx:dataLabel>
            <cx:dataLabel idx="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600"/>
                  </a:pPr>
                  <a:r>
                    <a:rPr lang="cs-CZ" sz="1600" b="0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</a:rPr>
                    <a:t>D
1,38%</a:t>
                  </a:r>
                </a:p>
              </cx:txPr>
              <cx:visibility seriesName="0" categoryName="1" value="1"/>
              <cx:separator>
</cx:separator>
            </cx:dataLabel>
            <cx:dataLabel idx="3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800"/>
                  </a:pPr>
                  <a:r>
                    <a:rPr lang="cs-CZ" sz="2800" b="0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</a:rPr>
                    <a:t>pD
4,14%</a:t>
                  </a:r>
                </a:p>
              </cx:txPr>
              <cx:visibility seriesName="0" categoryName="1" value="1"/>
              <cx:separator>
</cx:separator>
            </cx:dataLabel>
            <cx:dataLabel idx="5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400"/>
                  </a:pPr>
                  <a:r>
                    <a:rPr lang="cs-CZ" sz="1400" b="0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</a:rPr>
                    <a:t>pDT
1,03%</a:t>
                  </a:r>
                </a:p>
              </cx:txPr>
              <cx:visibility seriesName="0" categoryName="1" value="1"/>
              <cx:separator>
</cx:separator>
            </cx:dataLabel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15</xdr:row>
      <xdr:rowOff>171450</xdr:rowOff>
    </xdr:from>
    <xdr:to>
      <xdr:col>10</xdr:col>
      <xdr:colOff>485775</xdr:colOff>
      <xdr:row>30</xdr:row>
      <xdr:rowOff>161925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1DA14D3-3C0A-770F-B5CC-C87C9382F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31</xdr:row>
      <xdr:rowOff>95250</xdr:rowOff>
    </xdr:from>
    <xdr:to>
      <xdr:col>10</xdr:col>
      <xdr:colOff>476250</xdr:colOff>
      <xdr:row>46</xdr:row>
      <xdr:rowOff>114300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10BCFEC1-32B8-3DED-8D5B-0BB15056B882}"/>
            </a:ext>
            <a:ext uri="{147F2762-F138-4A5C-976F-8EAC2B608ADB}">
              <a16:predDERef xmlns:a16="http://schemas.microsoft.com/office/drawing/2014/main" pred="{81DA14D3-3C0A-770F-B5CC-C87C9382F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53340</xdr:colOff>
      <xdr:row>15</xdr:row>
      <xdr:rowOff>152400</xdr:rowOff>
    </xdr:from>
    <xdr:to>
      <xdr:col>23</xdr:col>
      <xdr:colOff>133350</xdr:colOff>
      <xdr:row>35</xdr:row>
      <xdr:rowOff>17145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 4">
              <a:extLst>
                <a:ext uri="{FF2B5EF4-FFF2-40B4-BE49-F238E27FC236}">
                  <a16:creationId xmlns:a16="http://schemas.microsoft.com/office/drawing/2014/main" id="{530BFDC4-2E51-46E9-B070-C5DFF7E57ED6}"/>
                </a:ext>
                <a:ext uri="{147F2762-F138-4A5C-976F-8EAC2B608ADB}">
                  <a16:predDERef xmlns:a16="http://schemas.microsoft.com/office/drawing/2014/main" pred="{10BCFEC1-32B8-3DED-8D5B-0BB15056B8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B068D-667B-4049-A219-5F4BCE7F89A1}">
  <dimension ref="A2:A8"/>
  <sheetViews>
    <sheetView workbookViewId="0">
      <selection activeCell="A12" sqref="A12"/>
    </sheetView>
  </sheetViews>
  <sheetFormatPr defaultRowHeight="14.45"/>
  <cols>
    <col min="1" max="1" width="79.140625" bestFit="1" customWidth="1"/>
  </cols>
  <sheetData>
    <row r="2" spans="1:1">
      <c r="A2" s="2" t="s">
        <v>0</v>
      </c>
    </row>
    <row r="3" spans="1:1">
      <c r="A3" s="2" t="s">
        <v>1</v>
      </c>
    </row>
    <row r="4" spans="1:1">
      <c r="A4" s="2" t="s">
        <v>2</v>
      </c>
    </row>
    <row r="5" spans="1:1">
      <c r="A5" s="2" t="s">
        <v>3</v>
      </c>
    </row>
    <row r="6" spans="1:1">
      <c r="A6" s="2" t="s">
        <v>4</v>
      </c>
    </row>
    <row r="7" spans="1:1">
      <c r="A7" s="2" t="s">
        <v>5</v>
      </c>
    </row>
    <row r="8" spans="1:1">
      <c r="A8" s="2" t="s">
        <v>6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E69DC-474D-4D2C-B7B0-F8BFA39E5B8D}">
  <dimension ref="B1:AQ22"/>
  <sheetViews>
    <sheetView topLeftCell="AK1" workbookViewId="0">
      <selection activeCell="AQ14" sqref="AQ14"/>
    </sheetView>
  </sheetViews>
  <sheetFormatPr defaultRowHeight="14.45"/>
  <cols>
    <col min="2" max="2" width="16.28515625" bestFit="1" customWidth="1"/>
    <col min="3" max="3" width="9.7109375" bestFit="1" customWidth="1"/>
    <col min="5" max="5" width="14.140625" bestFit="1" customWidth="1"/>
    <col min="6" max="6" width="40.42578125" bestFit="1" customWidth="1"/>
    <col min="7" max="7" width="9.42578125" bestFit="1" customWidth="1"/>
    <col min="8" max="8" width="23.42578125" bestFit="1" customWidth="1"/>
    <col min="9" max="9" width="15.42578125" bestFit="1" customWidth="1"/>
    <col min="11" max="11" width="15.42578125" customWidth="1"/>
    <col min="12" max="12" width="10.42578125" customWidth="1"/>
    <col min="13" max="13" width="14.5703125" customWidth="1"/>
    <col min="14" max="14" width="14.85546875" customWidth="1"/>
    <col min="15" max="15" width="11.5703125" customWidth="1"/>
    <col min="16" max="16" width="17.42578125" customWidth="1"/>
    <col min="17" max="17" width="24.28515625" customWidth="1"/>
    <col min="19" max="19" width="28.42578125" customWidth="1"/>
    <col min="20" max="20" width="28.5703125" customWidth="1"/>
    <col min="21" max="21" width="21.42578125" customWidth="1"/>
    <col min="22" max="22" width="27.42578125" customWidth="1"/>
    <col min="23" max="23" width="27.7109375" customWidth="1"/>
    <col min="24" max="24" width="26.42578125" customWidth="1"/>
    <col min="25" max="25" width="28.7109375" customWidth="1"/>
    <col min="26" max="26" width="16.7109375" customWidth="1"/>
    <col min="28" max="28" width="21" customWidth="1"/>
    <col min="29" max="29" width="20.28515625" customWidth="1"/>
    <col min="30" max="30" width="17.28515625" customWidth="1"/>
    <col min="31" max="31" width="16" customWidth="1"/>
    <col min="32" max="32" width="14.5703125" customWidth="1"/>
    <col min="33" max="33" width="19.28515625" customWidth="1"/>
    <col min="34" max="34" width="25.42578125" customWidth="1"/>
    <col min="35" max="35" width="10.28515625" customWidth="1"/>
    <col min="36" max="36" width="32.28515625" customWidth="1"/>
    <col min="37" max="37" width="29" customWidth="1"/>
    <col min="38" max="38" width="22.28515625" customWidth="1"/>
    <col min="39" max="39" width="29.140625" customWidth="1"/>
    <col min="40" max="40" width="30.7109375" customWidth="1"/>
    <col min="41" max="43" width="28.7109375" customWidth="1"/>
  </cols>
  <sheetData>
    <row r="1" spans="2:43">
      <c r="B1" s="1" t="s">
        <v>346</v>
      </c>
    </row>
    <row r="2" spans="2:43" ht="15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10</v>
      </c>
      <c r="S2" t="s">
        <v>64</v>
      </c>
      <c r="T2" t="s">
        <v>65</v>
      </c>
      <c r="U2" t="s">
        <v>66</v>
      </c>
      <c r="V2" t="s">
        <v>67</v>
      </c>
      <c r="W2" t="s">
        <v>68</v>
      </c>
      <c r="X2" t="s">
        <v>28</v>
      </c>
      <c r="Y2" t="s">
        <v>69</v>
      </c>
      <c r="Z2" t="s">
        <v>30</v>
      </c>
      <c r="AB2" s="4" t="s">
        <v>59</v>
      </c>
      <c r="AC2" s="4" t="s">
        <v>60</v>
      </c>
    </row>
    <row r="3" spans="2:43">
      <c r="B3" t="s">
        <v>44</v>
      </c>
      <c r="C3">
        <v>5</v>
      </c>
      <c r="D3" t="s">
        <v>45</v>
      </c>
      <c r="E3">
        <v>0</v>
      </c>
      <c r="F3" t="s">
        <v>33</v>
      </c>
      <c r="G3" t="str">
        <f>IF(OR(F3="x",ISBLANK(F3)),_xlfn.CONCAT(B3,C3,D3),"alexandrín")</f>
        <v>J5M</v>
      </c>
      <c r="H3" t="str">
        <f>IF(G3="alexandrín",IF(D3="Ž","ženský","mužský"),"–")</f>
        <v>–</v>
      </c>
      <c r="I3" t="str">
        <f>IF(G3="alexandrín",_xlfn.CONCAT(G3,H3),"–")</f>
        <v>–</v>
      </c>
      <c r="K3" t="s">
        <v>35</v>
      </c>
      <c r="L3" t="s">
        <v>36</v>
      </c>
      <c r="M3" t="s">
        <v>347</v>
      </c>
      <c r="N3" t="s">
        <v>348</v>
      </c>
      <c r="O3" t="s">
        <v>349</v>
      </c>
      <c r="P3">
        <v>1</v>
      </c>
      <c r="Q3" t="s">
        <v>40</v>
      </c>
      <c r="R3" t="s">
        <v>45</v>
      </c>
      <c r="S3">
        <v>1</v>
      </c>
      <c r="T3">
        <v>3</v>
      </c>
      <c r="U3" t="str">
        <f>_xlfn.CONCAT(S3,"/",T3)</f>
        <v>1/3</v>
      </c>
      <c r="V3" t="s">
        <v>75</v>
      </c>
      <c r="W3" t="s">
        <v>41</v>
      </c>
      <c r="X3" t="str">
        <f>_xlfn.CONCAT(V3,"+",W3)</f>
        <v>V+Adj</v>
      </c>
      <c r="Y3">
        <v>2</v>
      </c>
      <c r="Z3" t="s">
        <v>43</v>
      </c>
      <c r="AB3" t="s">
        <v>16</v>
      </c>
      <c r="AC3" t="s">
        <v>17</v>
      </c>
      <c r="AD3" t="s">
        <v>18</v>
      </c>
      <c r="AE3" t="s">
        <v>19</v>
      </c>
      <c r="AF3" t="s">
        <v>20</v>
      </c>
      <c r="AG3" t="s">
        <v>21</v>
      </c>
      <c r="AH3" t="s">
        <v>22</v>
      </c>
      <c r="AI3" t="s">
        <v>10</v>
      </c>
      <c r="AJ3" t="s">
        <v>64</v>
      </c>
      <c r="AK3" t="s">
        <v>65</v>
      </c>
      <c r="AL3" t="s">
        <v>66</v>
      </c>
      <c r="AM3" t="s">
        <v>67</v>
      </c>
      <c r="AN3" t="s">
        <v>68</v>
      </c>
      <c r="AO3" t="s">
        <v>28</v>
      </c>
      <c r="AP3" t="s">
        <v>69</v>
      </c>
      <c r="AQ3" t="s">
        <v>70</v>
      </c>
    </row>
    <row r="4" spans="2:43">
      <c r="B4" t="s">
        <v>44</v>
      </c>
      <c r="C4">
        <v>5</v>
      </c>
      <c r="D4" t="s">
        <v>45</v>
      </c>
      <c r="E4">
        <v>0</v>
      </c>
      <c r="F4" t="s">
        <v>33</v>
      </c>
      <c r="G4" t="str">
        <f t="shared" ref="G4:G22" si="0">IF(OR(F4="x",ISBLANK(F4)),_xlfn.CONCAT(B4,C4,D4),"alexandrín")</f>
        <v>J5M</v>
      </c>
      <c r="H4" t="str">
        <f t="shared" ref="H4:H22" si="1">IF(G4="alexandrín",IF(D4="Ž","ženský","mužský"),"–")</f>
        <v>–</v>
      </c>
      <c r="I4" t="str">
        <f t="shared" ref="I4:I22" si="2">IF(G4="alexandrín",_xlfn.CONCAT(G4,H4),"–")</f>
        <v>–</v>
      </c>
      <c r="L4" t="s">
        <v>46</v>
      </c>
      <c r="M4" t="s">
        <v>350</v>
      </c>
      <c r="N4" t="s">
        <v>351</v>
      </c>
      <c r="O4" t="s">
        <v>352</v>
      </c>
      <c r="P4">
        <v>1</v>
      </c>
      <c r="Q4" t="s">
        <v>58</v>
      </c>
      <c r="R4" t="s">
        <v>146</v>
      </c>
      <c r="S4">
        <v>1</v>
      </c>
      <c r="T4">
        <v>1</v>
      </c>
      <c r="U4" t="str">
        <f t="shared" ref="U4:U12" si="3">_xlfn.CONCAT(S4,"/",T4)</f>
        <v>1/1</v>
      </c>
      <c r="V4" t="s">
        <v>42</v>
      </c>
      <c r="W4" t="s">
        <v>50</v>
      </c>
      <c r="X4" t="str">
        <f t="shared" ref="X4:X12" si="4">_xlfn.CONCAT(V4,"+",W4)</f>
        <v>Pron+N</v>
      </c>
      <c r="Y4">
        <v>2</v>
      </c>
      <c r="AB4" t="s">
        <v>35</v>
      </c>
      <c r="AC4" t="s">
        <v>36</v>
      </c>
      <c r="AD4" t="s">
        <v>347</v>
      </c>
      <c r="AE4" t="s">
        <v>348</v>
      </c>
      <c r="AF4" t="s">
        <v>349</v>
      </c>
      <c r="AG4">
        <v>1</v>
      </c>
      <c r="AH4" t="s">
        <v>40</v>
      </c>
      <c r="AI4" t="s">
        <v>45</v>
      </c>
      <c r="AJ4">
        <v>1</v>
      </c>
      <c r="AK4">
        <v>3</v>
      </c>
      <c r="AL4" t="str">
        <f>_xlfn.CONCAT(AJ4,"/",AK4)</f>
        <v>1/3</v>
      </c>
      <c r="AM4" t="s">
        <v>75</v>
      </c>
      <c r="AN4" t="s">
        <v>41</v>
      </c>
      <c r="AO4" t="str">
        <f>_xlfn.CONCAT(AM4,"+",AN4)</f>
        <v>V+Adj</v>
      </c>
      <c r="AP4">
        <v>2</v>
      </c>
      <c r="AQ4" t="s">
        <v>77</v>
      </c>
    </row>
    <row r="5" spans="2:43">
      <c r="B5" t="s">
        <v>44</v>
      </c>
      <c r="C5">
        <v>5</v>
      </c>
      <c r="D5" t="s">
        <v>45</v>
      </c>
      <c r="E5">
        <v>0</v>
      </c>
      <c r="F5" t="s">
        <v>33</v>
      </c>
      <c r="G5" t="str">
        <f t="shared" si="0"/>
        <v>J5M</v>
      </c>
      <c r="H5" t="str">
        <f t="shared" si="1"/>
        <v>–</v>
      </c>
      <c r="I5" t="str">
        <f t="shared" si="2"/>
        <v>–</v>
      </c>
      <c r="K5" t="s">
        <v>35</v>
      </c>
      <c r="L5" t="s">
        <v>36</v>
      </c>
      <c r="M5" t="s">
        <v>353</v>
      </c>
      <c r="N5" t="s">
        <v>354</v>
      </c>
      <c r="O5" t="s">
        <v>124</v>
      </c>
      <c r="P5">
        <v>2</v>
      </c>
      <c r="Q5" t="s">
        <v>40</v>
      </c>
      <c r="R5" t="s">
        <v>146</v>
      </c>
      <c r="S5">
        <v>3</v>
      </c>
      <c r="T5">
        <v>3</v>
      </c>
      <c r="U5" t="str">
        <f t="shared" si="3"/>
        <v>3/3</v>
      </c>
      <c r="V5" t="s">
        <v>50</v>
      </c>
      <c r="W5" t="s">
        <v>50</v>
      </c>
      <c r="X5" t="str">
        <f t="shared" si="4"/>
        <v>N+N</v>
      </c>
      <c r="Y5">
        <v>1</v>
      </c>
      <c r="AB5" t="s">
        <v>35</v>
      </c>
      <c r="AC5" t="s">
        <v>36</v>
      </c>
      <c r="AD5" t="s">
        <v>178</v>
      </c>
      <c r="AE5" t="s">
        <v>355</v>
      </c>
      <c r="AF5" t="s">
        <v>355</v>
      </c>
      <c r="AG5">
        <v>1</v>
      </c>
      <c r="AH5" t="s">
        <v>58</v>
      </c>
      <c r="AI5" t="s">
        <v>45</v>
      </c>
      <c r="AJ5">
        <v>3</v>
      </c>
      <c r="AK5">
        <v>1</v>
      </c>
      <c r="AL5" t="str">
        <f t="shared" ref="AL5:AL7" si="5">_xlfn.CONCAT(AJ5,"/",AK5)</f>
        <v>3/1</v>
      </c>
      <c r="AM5" t="s">
        <v>75</v>
      </c>
      <c r="AN5" t="s">
        <v>75</v>
      </c>
      <c r="AO5" t="str">
        <f t="shared" ref="AO5:AO7" si="6">_xlfn.CONCAT(AM5,"+",AN5)</f>
        <v>V+V</v>
      </c>
      <c r="AP5">
        <v>1</v>
      </c>
      <c r="AQ5" t="s">
        <v>77</v>
      </c>
    </row>
    <row r="6" spans="2:43">
      <c r="B6" t="s">
        <v>101</v>
      </c>
      <c r="C6">
        <v>3</v>
      </c>
      <c r="D6" t="s">
        <v>102</v>
      </c>
      <c r="E6" t="s">
        <v>33</v>
      </c>
      <c r="F6" t="s">
        <v>33</v>
      </c>
      <c r="G6" t="str">
        <f t="shared" si="0"/>
        <v>pD3A</v>
      </c>
      <c r="H6" t="str">
        <f t="shared" si="1"/>
        <v>–</v>
      </c>
      <c r="I6" t="str">
        <f t="shared" si="2"/>
        <v>–</v>
      </c>
      <c r="L6" t="s">
        <v>46</v>
      </c>
      <c r="M6" t="s">
        <v>350</v>
      </c>
      <c r="N6" t="s">
        <v>356</v>
      </c>
      <c r="O6" t="s">
        <v>352</v>
      </c>
      <c r="P6">
        <v>1</v>
      </c>
      <c r="Q6" t="s">
        <v>58</v>
      </c>
      <c r="R6" t="s">
        <v>32</v>
      </c>
      <c r="S6">
        <v>1</v>
      </c>
      <c r="T6">
        <v>1</v>
      </c>
      <c r="U6" t="str">
        <f t="shared" si="3"/>
        <v>1/1</v>
      </c>
      <c r="V6" t="s">
        <v>42</v>
      </c>
      <c r="W6" t="s">
        <v>50</v>
      </c>
      <c r="X6" t="str">
        <f t="shared" si="4"/>
        <v>Pron+N</v>
      </c>
      <c r="Y6">
        <v>2</v>
      </c>
      <c r="AB6" t="s">
        <v>35</v>
      </c>
      <c r="AC6" t="s">
        <v>46</v>
      </c>
      <c r="AD6" t="s">
        <v>357</v>
      </c>
      <c r="AE6" t="s">
        <v>358</v>
      </c>
      <c r="AF6" t="s">
        <v>359</v>
      </c>
      <c r="AG6">
        <v>1</v>
      </c>
      <c r="AH6" t="s">
        <v>58</v>
      </c>
      <c r="AI6" t="s">
        <v>45</v>
      </c>
      <c r="AJ6">
        <v>1</v>
      </c>
      <c r="AK6">
        <v>3</v>
      </c>
      <c r="AL6" t="str">
        <f t="shared" si="5"/>
        <v>1/3</v>
      </c>
      <c r="AM6" t="s">
        <v>42</v>
      </c>
      <c r="AN6" t="s">
        <v>75</v>
      </c>
      <c r="AO6" t="str">
        <f t="shared" si="6"/>
        <v>Pron+V</v>
      </c>
      <c r="AP6">
        <v>2</v>
      </c>
      <c r="AQ6" t="s">
        <v>135</v>
      </c>
    </row>
    <row r="7" spans="2:43">
      <c r="B7" t="s">
        <v>44</v>
      </c>
      <c r="C7">
        <v>5</v>
      </c>
      <c r="D7" t="s">
        <v>45</v>
      </c>
      <c r="E7">
        <v>0</v>
      </c>
      <c r="F7" t="s">
        <v>33</v>
      </c>
      <c r="G7" t="str">
        <f t="shared" si="0"/>
        <v>J5M</v>
      </c>
      <c r="H7" t="str">
        <f t="shared" si="1"/>
        <v>–</v>
      </c>
      <c r="I7" t="str">
        <f t="shared" si="2"/>
        <v>–</v>
      </c>
      <c r="K7" t="s">
        <v>35</v>
      </c>
      <c r="L7" t="s">
        <v>36</v>
      </c>
      <c r="M7" t="s">
        <v>178</v>
      </c>
      <c r="N7" t="s">
        <v>355</v>
      </c>
      <c r="O7" t="s">
        <v>355</v>
      </c>
      <c r="P7">
        <v>1</v>
      </c>
      <c r="Q7" t="s">
        <v>58</v>
      </c>
      <c r="R7" t="s">
        <v>45</v>
      </c>
      <c r="S7">
        <v>3</v>
      </c>
      <c r="T7">
        <v>1</v>
      </c>
      <c r="U7" t="str">
        <f t="shared" si="3"/>
        <v>3/1</v>
      </c>
      <c r="V7" t="s">
        <v>75</v>
      </c>
      <c r="W7" t="s">
        <v>75</v>
      </c>
      <c r="X7" t="str">
        <f t="shared" si="4"/>
        <v>V+V</v>
      </c>
      <c r="Y7">
        <v>1</v>
      </c>
      <c r="Z7" t="s">
        <v>43</v>
      </c>
    </row>
    <row r="8" spans="2:43">
      <c r="B8" t="s">
        <v>44</v>
      </c>
      <c r="C8">
        <v>5</v>
      </c>
      <c r="D8" t="s">
        <v>45</v>
      </c>
      <c r="E8">
        <v>0</v>
      </c>
      <c r="F8" t="s">
        <v>33</v>
      </c>
      <c r="G8" t="str">
        <f t="shared" si="0"/>
        <v>J5M</v>
      </c>
      <c r="H8" t="str">
        <f t="shared" si="1"/>
        <v>–</v>
      </c>
      <c r="I8" t="str">
        <f t="shared" si="2"/>
        <v>–</v>
      </c>
      <c r="L8" t="s">
        <v>46</v>
      </c>
      <c r="M8" t="s">
        <v>360</v>
      </c>
      <c r="N8" t="s">
        <v>361</v>
      </c>
      <c r="O8" t="s">
        <v>362</v>
      </c>
      <c r="P8">
        <v>2</v>
      </c>
      <c r="Q8" t="s">
        <v>40</v>
      </c>
      <c r="R8" t="s">
        <v>99</v>
      </c>
      <c r="S8">
        <v>3</v>
      </c>
      <c r="T8">
        <v>3</v>
      </c>
      <c r="U8" t="str">
        <f t="shared" si="3"/>
        <v>3/3</v>
      </c>
      <c r="V8" t="s">
        <v>50</v>
      </c>
      <c r="W8" t="s">
        <v>41</v>
      </c>
      <c r="X8" t="str">
        <f t="shared" si="4"/>
        <v>N+Adj</v>
      </c>
      <c r="Y8">
        <v>2</v>
      </c>
    </row>
    <row r="9" spans="2:43">
      <c r="B9" t="s">
        <v>101</v>
      </c>
      <c r="C9">
        <v>3</v>
      </c>
      <c r="D9" t="s">
        <v>102</v>
      </c>
      <c r="E9" t="s">
        <v>33</v>
      </c>
      <c r="F9" t="s">
        <v>33</v>
      </c>
      <c r="G9" t="str">
        <f t="shared" si="0"/>
        <v>pD3A</v>
      </c>
      <c r="H9" t="str">
        <f t="shared" si="1"/>
        <v>–</v>
      </c>
      <c r="I9" t="str">
        <f t="shared" si="2"/>
        <v>–</v>
      </c>
      <c r="K9" t="s">
        <v>35</v>
      </c>
      <c r="L9" t="s">
        <v>36</v>
      </c>
      <c r="M9" t="s">
        <v>363</v>
      </c>
      <c r="N9" t="s">
        <v>364</v>
      </c>
      <c r="O9" t="s">
        <v>365</v>
      </c>
      <c r="P9">
        <v>1</v>
      </c>
      <c r="Q9" t="s">
        <v>58</v>
      </c>
      <c r="R9" t="s">
        <v>45</v>
      </c>
      <c r="S9">
        <v>1</v>
      </c>
      <c r="T9">
        <v>1</v>
      </c>
      <c r="U9" t="str">
        <f t="shared" si="3"/>
        <v>1/1</v>
      </c>
      <c r="V9" t="s">
        <v>50</v>
      </c>
      <c r="W9" t="s">
        <v>75</v>
      </c>
      <c r="X9" t="str">
        <f t="shared" si="4"/>
        <v>N+V</v>
      </c>
      <c r="Y9">
        <v>2</v>
      </c>
      <c r="Z9" t="s">
        <v>366</v>
      </c>
    </row>
    <row r="10" spans="2:43" ht="15">
      <c r="B10" t="s">
        <v>71</v>
      </c>
      <c r="C10">
        <v>5</v>
      </c>
      <c r="D10" t="s">
        <v>32</v>
      </c>
      <c r="E10" t="s">
        <v>33</v>
      </c>
      <c r="F10" t="s">
        <v>33</v>
      </c>
      <c r="G10" t="str">
        <f t="shared" si="0"/>
        <v>T5Ž</v>
      </c>
      <c r="H10" t="str">
        <f t="shared" si="1"/>
        <v>–</v>
      </c>
      <c r="I10" t="str">
        <f t="shared" si="2"/>
        <v>–</v>
      </c>
      <c r="L10" t="s">
        <v>46</v>
      </c>
      <c r="M10" t="s">
        <v>357</v>
      </c>
      <c r="N10" t="s">
        <v>358</v>
      </c>
      <c r="O10" t="s">
        <v>359</v>
      </c>
      <c r="P10">
        <v>1</v>
      </c>
      <c r="Q10" t="s">
        <v>58</v>
      </c>
      <c r="R10" t="s">
        <v>45</v>
      </c>
      <c r="S10">
        <v>1</v>
      </c>
      <c r="T10">
        <v>3</v>
      </c>
      <c r="U10" t="str">
        <f t="shared" si="3"/>
        <v>1/3</v>
      </c>
      <c r="V10" t="s">
        <v>42</v>
      </c>
      <c r="W10" t="s">
        <v>75</v>
      </c>
      <c r="X10" t="str">
        <f t="shared" si="4"/>
        <v>Pron+V</v>
      </c>
      <c r="Y10">
        <v>2</v>
      </c>
      <c r="Z10" t="s">
        <v>122</v>
      </c>
      <c r="AB10" s="4" t="s">
        <v>84</v>
      </c>
      <c r="AC10" s="4" t="s">
        <v>85</v>
      </c>
    </row>
    <row r="11" spans="2:43">
      <c r="B11" t="s">
        <v>44</v>
      </c>
      <c r="C11">
        <v>5</v>
      </c>
      <c r="D11" t="s">
        <v>45</v>
      </c>
      <c r="E11">
        <v>0</v>
      </c>
      <c r="F11" t="s">
        <v>33</v>
      </c>
      <c r="G11" t="str">
        <f t="shared" si="0"/>
        <v>J5M</v>
      </c>
      <c r="H11" t="str">
        <f t="shared" si="1"/>
        <v>–</v>
      </c>
      <c r="I11" t="str">
        <f t="shared" si="2"/>
        <v>–</v>
      </c>
      <c r="K11" t="s">
        <v>35</v>
      </c>
      <c r="L11" t="s">
        <v>36</v>
      </c>
      <c r="M11" t="s">
        <v>367</v>
      </c>
      <c r="N11" t="s">
        <v>368</v>
      </c>
      <c r="O11" t="s">
        <v>369</v>
      </c>
      <c r="P11">
        <v>1</v>
      </c>
      <c r="Q11" t="s">
        <v>40</v>
      </c>
      <c r="R11" t="s">
        <v>45</v>
      </c>
      <c r="S11">
        <v>3</v>
      </c>
      <c r="T11">
        <v>1</v>
      </c>
      <c r="U11" t="str">
        <f t="shared" si="3"/>
        <v>3/1</v>
      </c>
      <c r="V11" t="s">
        <v>41</v>
      </c>
      <c r="W11" t="s">
        <v>50</v>
      </c>
      <c r="X11" t="str">
        <f t="shared" si="4"/>
        <v>Adj+N</v>
      </c>
      <c r="Y11">
        <v>2</v>
      </c>
      <c r="Z11" t="s">
        <v>370</v>
      </c>
      <c r="AB11" t="s">
        <v>16</v>
      </c>
      <c r="AC11" t="s">
        <v>17</v>
      </c>
      <c r="AD11" t="s">
        <v>18</v>
      </c>
      <c r="AE11" t="s">
        <v>19</v>
      </c>
      <c r="AF11" t="s">
        <v>20</v>
      </c>
      <c r="AG11" t="s">
        <v>21</v>
      </c>
      <c r="AH11" t="s">
        <v>22</v>
      </c>
      <c r="AI11" t="s">
        <v>10</v>
      </c>
      <c r="AJ11" t="s">
        <v>64</v>
      </c>
      <c r="AK11" t="s">
        <v>65</v>
      </c>
      <c r="AL11" t="s">
        <v>66</v>
      </c>
      <c r="AM11" t="s">
        <v>67</v>
      </c>
      <c r="AN11" t="s">
        <v>68</v>
      </c>
      <c r="AO11" t="s">
        <v>28</v>
      </c>
      <c r="AP11" t="s">
        <v>69</v>
      </c>
      <c r="AQ11" t="s">
        <v>91</v>
      </c>
    </row>
    <row r="12" spans="2:43">
      <c r="B12" t="s">
        <v>101</v>
      </c>
      <c r="C12">
        <v>3</v>
      </c>
      <c r="D12" t="s">
        <v>102</v>
      </c>
      <c r="E12" t="s">
        <v>33</v>
      </c>
      <c r="F12" t="s">
        <v>33</v>
      </c>
      <c r="G12" t="str">
        <f t="shared" si="0"/>
        <v>pD3A</v>
      </c>
      <c r="H12" t="str">
        <f t="shared" si="1"/>
        <v>–</v>
      </c>
      <c r="I12" t="str">
        <f t="shared" si="2"/>
        <v>–</v>
      </c>
      <c r="L12" t="s">
        <v>46</v>
      </c>
      <c r="M12" t="s">
        <v>351</v>
      </c>
      <c r="N12" t="s">
        <v>350</v>
      </c>
      <c r="O12" t="s">
        <v>352</v>
      </c>
      <c r="P12">
        <v>1</v>
      </c>
      <c r="Q12" t="s">
        <v>40</v>
      </c>
      <c r="R12" t="s">
        <v>45</v>
      </c>
      <c r="S12">
        <v>1</v>
      </c>
      <c r="T12">
        <v>1</v>
      </c>
      <c r="U12" t="str">
        <f t="shared" si="3"/>
        <v>1/1</v>
      </c>
      <c r="V12" t="s">
        <v>50</v>
      </c>
      <c r="W12" t="s">
        <v>42</v>
      </c>
      <c r="X12" t="str">
        <f t="shared" si="4"/>
        <v>N+Pron</v>
      </c>
      <c r="Y12">
        <v>2</v>
      </c>
      <c r="AB12" t="s">
        <v>35</v>
      </c>
      <c r="AC12" t="s">
        <v>36</v>
      </c>
      <c r="AD12" t="s">
        <v>347</v>
      </c>
      <c r="AE12" t="s">
        <v>348</v>
      </c>
      <c r="AF12" t="s">
        <v>349</v>
      </c>
      <c r="AG12">
        <v>1</v>
      </c>
      <c r="AH12" t="s">
        <v>40</v>
      </c>
      <c r="AI12" t="s">
        <v>45</v>
      </c>
      <c r="AJ12">
        <v>1</v>
      </c>
      <c r="AK12">
        <v>3</v>
      </c>
      <c r="AL12" t="str">
        <f>_xlfn.CONCAT(AJ12,"/",AK12)</f>
        <v>1/3</v>
      </c>
      <c r="AM12" t="s">
        <v>75</v>
      </c>
      <c r="AN12" t="s">
        <v>41</v>
      </c>
      <c r="AO12" t="str">
        <f>_xlfn.CONCAT(AM12,"+",AN12)</f>
        <v>V+Adj</v>
      </c>
      <c r="AP12">
        <v>2</v>
      </c>
      <c r="AQ12" t="s">
        <v>77</v>
      </c>
    </row>
    <row r="13" spans="2:43">
      <c r="B13" t="s">
        <v>44</v>
      </c>
      <c r="C13">
        <v>6</v>
      </c>
      <c r="D13" t="s">
        <v>45</v>
      </c>
      <c r="E13">
        <v>0</v>
      </c>
      <c r="F13">
        <v>0</v>
      </c>
      <c r="G13" t="str">
        <f t="shared" si="0"/>
        <v>alexandrín</v>
      </c>
      <c r="H13" t="str">
        <f t="shared" si="1"/>
        <v>mužský</v>
      </c>
      <c r="I13" t="str">
        <f t="shared" si="2"/>
        <v>alexandrínmužský</v>
      </c>
      <c r="AB13" t="s">
        <v>35</v>
      </c>
      <c r="AC13" t="s">
        <v>36</v>
      </c>
      <c r="AD13" t="s">
        <v>178</v>
      </c>
      <c r="AE13" t="s">
        <v>355</v>
      </c>
      <c r="AF13" t="s">
        <v>355</v>
      </c>
      <c r="AG13">
        <v>1</v>
      </c>
      <c r="AH13" t="s">
        <v>58</v>
      </c>
      <c r="AI13" t="s">
        <v>45</v>
      </c>
      <c r="AJ13">
        <v>3</v>
      </c>
      <c r="AK13">
        <v>1</v>
      </c>
      <c r="AL13" t="str">
        <f t="shared" ref="AL13:AL14" si="7">_xlfn.CONCAT(AJ13,"/",AK13)</f>
        <v>3/1</v>
      </c>
      <c r="AM13" t="s">
        <v>75</v>
      </c>
      <c r="AN13" t="s">
        <v>75</v>
      </c>
      <c r="AO13" t="str">
        <f t="shared" ref="AO13:AO14" si="8">_xlfn.CONCAT(AM13,"+",AN13)</f>
        <v>V+V</v>
      </c>
      <c r="AP13">
        <v>1</v>
      </c>
      <c r="AQ13" t="s">
        <v>77</v>
      </c>
    </row>
    <row r="14" spans="2:43">
      <c r="B14" t="s">
        <v>44</v>
      </c>
      <c r="C14">
        <v>5</v>
      </c>
      <c r="D14" t="s">
        <v>45</v>
      </c>
      <c r="E14">
        <v>0</v>
      </c>
      <c r="F14" t="s">
        <v>33</v>
      </c>
      <c r="G14" t="str">
        <f t="shared" si="0"/>
        <v>J5M</v>
      </c>
      <c r="H14" t="str">
        <f t="shared" si="1"/>
        <v>–</v>
      </c>
      <c r="I14" t="str">
        <f t="shared" si="2"/>
        <v>–</v>
      </c>
      <c r="AB14" t="s">
        <v>35</v>
      </c>
      <c r="AC14" t="s">
        <v>36</v>
      </c>
      <c r="AD14" t="s">
        <v>367</v>
      </c>
      <c r="AE14" t="s">
        <v>368</v>
      </c>
      <c r="AF14" t="s">
        <v>369</v>
      </c>
      <c r="AG14">
        <v>1</v>
      </c>
      <c r="AH14" t="s">
        <v>40</v>
      </c>
      <c r="AI14" t="s">
        <v>45</v>
      </c>
      <c r="AJ14">
        <v>3</v>
      </c>
      <c r="AK14">
        <v>1</v>
      </c>
      <c r="AL14" t="str">
        <f t="shared" si="7"/>
        <v>3/1</v>
      </c>
      <c r="AM14" t="s">
        <v>41</v>
      </c>
      <c r="AN14" t="s">
        <v>42</v>
      </c>
      <c r="AO14" t="str">
        <f t="shared" si="8"/>
        <v>Adj+Pron</v>
      </c>
      <c r="AP14">
        <v>2</v>
      </c>
      <c r="AQ14" t="s">
        <v>135</v>
      </c>
    </row>
    <row r="15" spans="2:43">
      <c r="B15" t="s">
        <v>136</v>
      </c>
      <c r="C15">
        <v>4</v>
      </c>
      <c r="D15" t="s">
        <v>45</v>
      </c>
      <c r="E15" t="s">
        <v>33</v>
      </c>
      <c r="F15" t="s">
        <v>33</v>
      </c>
      <c r="G15" t="s">
        <v>371</v>
      </c>
      <c r="H15" t="str">
        <f t="shared" si="1"/>
        <v>–</v>
      </c>
      <c r="I15" t="str">
        <f t="shared" si="2"/>
        <v>–</v>
      </c>
    </row>
    <row r="16" spans="2:43">
      <c r="B16" t="s">
        <v>44</v>
      </c>
      <c r="C16">
        <v>6</v>
      </c>
      <c r="D16" t="s">
        <v>45</v>
      </c>
      <c r="E16">
        <v>0</v>
      </c>
      <c r="F16">
        <v>0</v>
      </c>
      <c r="G16" t="str">
        <f t="shared" si="0"/>
        <v>alexandrín</v>
      </c>
      <c r="H16" t="str">
        <f t="shared" si="1"/>
        <v>mužský</v>
      </c>
      <c r="I16" t="str">
        <f t="shared" si="2"/>
        <v>alexandrínmužský</v>
      </c>
    </row>
    <row r="17" spans="2:9">
      <c r="B17" t="s">
        <v>44</v>
      </c>
      <c r="C17">
        <v>5</v>
      </c>
      <c r="D17" t="s">
        <v>45</v>
      </c>
      <c r="E17">
        <v>0</v>
      </c>
      <c r="F17" t="s">
        <v>33</v>
      </c>
      <c r="G17" t="str">
        <f t="shared" si="0"/>
        <v>J5M</v>
      </c>
      <c r="H17" t="str">
        <f t="shared" si="1"/>
        <v>–</v>
      </c>
      <c r="I17" t="str">
        <f t="shared" si="2"/>
        <v>–</v>
      </c>
    </row>
    <row r="18" spans="2:9">
      <c r="B18" t="s">
        <v>44</v>
      </c>
      <c r="C18">
        <v>6</v>
      </c>
      <c r="D18" t="s">
        <v>45</v>
      </c>
      <c r="E18">
        <v>0</v>
      </c>
      <c r="F18">
        <v>0</v>
      </c>
      <c r="G18" t="str">
        <f t="shared" si="0"/>
        <v>alexandrín</v>
      </c>
      <c r="H18" t="str">
        <f t="shared" si="1"/>
        <v>mužský</v>
      </c>
      <c r="I18" t="str">
        <f t="shared" si="2"/>
        <v>alexandrínmužský</v>
      </c>
    </row>
    <row r="19" spans="2:9">
      <c r="B19" t="s">
        <v>44</v>
      </c>
      <c r="C19">
        <v>5</v>
      </c>
      <c r="D19" t="s">
        <v>45</v>
      </c>
      <c r="E19">
        <v>0</v>
      </c>
      <c r="F19" t="s">
        <v>33</v>
      </c>
      <c r="G19" t="str">
        <f t="shared" si="0"/>
        <v>J5M</v>
      </c>
      <c r="H19" t="str">
        <f t="shared" si="1"/>
        <v>–</v>
      </c>
      <c r="I19" t="str">
        <f t="shared" si="2"/>
        <v>–</v>
      </c>
    </row>
    <row r="20" spans="2:9">
      <c r="B20" t="s">
        <v>44</v>
      </c>
      <c r="C20">
        <v>5</v>
      </c>
      <c r="D20" t="s">
        <v>45</v>
      </c>
      <c r="E20">
        <v>0</v>
      </c>
      <c r="F20" t="s">
        <v>33</v>
      </c>
      <c r="G20" t="str">
        <f t="shared" si="0"/>
        <v>J5M</v>
      </c>
      <c r="H20" t="str">
        <f t="shared" si="1"/>
        <v>–</v>
      </c>
      <c r="I20" t="str">
        <f t="shared" si="2"/>
        <v>–</v>
      </c>
    </row>
    <row r="21" spans="2:9">
      <c r="B21" t="s">
        <v>44</v>
      </c>
      <c r="C21">
        <v>5</v>
      </c>
      <c r="D21" t="s">
        <v>45</v>
      </c>
      <c r="E21">
        <v>0</v>
      </c>
      <c r="F21" t="s">
        <v>33</v>
      </c>
      <c r="G21" t="str">
        <f t="shared" si="0"/>
        <v>J5M</v>
      </c>
      <c r="H21" t="str">
        <f t="shared" si="1"/>
        <v>–</v>
      </c>
      <c r="I21" t="str">
        <f t="shared" si="2"/>
        <v>–</v>
      </c>
    </row>
    <row r="22" spans="2:9">
      <c r="B22" t="s">
        <v>44</v>
      </c>
      <c r="C22">
        <v>5</v>
      </c>
      <c r="D22" t="s">
        <v>45</v>
      </c>
      <c r="E22">
        <v>0</v>
      </c>
      <c r="F22" t="s">
        <v>33</v>
      </c>
      <c r="G22" t="str">
        <f t="shared" si="0"/>
        <v>J5M</v>
      </c>
      <c r="H22" t="str">
        <f t="shared" si="1"/>
        <v>–</v>
      </c>
      <c r="I22" t="str">
        <f t="shared" si="2"/>
        <v>–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9BCC5-4E3F-48BB-890F-4D6AAEE72AC3}">
  <dimension ref="B1:AQ34"/>
  <sheetViews>
    <sheetView topLeftCell="Y1" workbookViewId="0">
      <selection activeCell="Z14" sqref="Z14"/>
    </sheetView>
  </sheetViews>
  <sheetFormatPr defaultRowHeight="14.45"/>
  <cols>
    <col min="2" max="2" width="15.28515625" bestFit="1" customWidth="1"/>
    <col min="3" max="3" width="9.7109375" bestFit="1" customWidth="1"/>
    <col min="5" max="5" width="14.140625" bestFit="1" customWidth="1"/>
    <col min="6" max="6" width="40.42578125" bestFit="1" customWidth="1"/>
    <col min="7" max="7" width="9.42578125" bestFit="1" customWidth="1"/>
    <col min="8" max="8" width="23.42578125" bestFit="1" customWidth="1"/>
    <col min="9" max="9" width="15.42578125" bestFit="1" customWidth="1"/>
    <col min="11" max="11" width="15" customWidth="1"/>
    <col min="12" max="12" width="10.28515625" customWidth="1"/>
    <col min="13" max="13" width="14.7109375" customWidth="1"/>
    <col min="14" max="14" width="14.42578125" customWidth="1"/>
    <col min="15" max="15" width="11.28515625" customWidth="1"/>
    <col min="16" max="16" width="17.28515625" customWidth="1"/>
    <col min="17" max="17" width="23.5703125" customWidth="1"/>
    <col min="19" max="19" width="27.7109375" customWidth="1"/>
    <col min="20" max="20" width="27.85546875" customWidth="1"/>
    <col min="21" max="21" width="21.5703125" customWidth="1"/>
    <col min="22" max="22" width="27.5703125" customWidth="1"/>
    <col min="23" max="23" width="27.42578125" customWidth="1"/>
    <col min="24" max="24" width="26.42578125" customWidth="1"/>
    <col min="25" max="25" width="28.28515625" customWidth="1"/>
    <col min="26" max="26" width="21.28515625" customWidth="1"/>
    <col min="28" max="28" width="15" bestFit="1" customWidth="1"/>
    <col min="29" max="29" width="21.42578125" customWidth="1"/>
    <col min="30" max="31" width="14.85546875" bestFit="1" customWidth="1"/>
    <col min="32" max="32" width="11.5703125" bestFit="1" customWidth="1"/>
    <col min="33" max="33" width="18.28515625" bestFit="1" customWidth="1"/>
    <col min="34" max="34" width="25.42578125" bestFit="1" customWidth="1"/>
    <col min="36" max="37" width="29.42578125" bestFit="1" customWidth="1"/>
    <col min="38" max="38" width="23" bestFit="1" customWidth="1"/>
    <col min="39" max="40" width="29.42578125" bestFit="1" customWidth="1"/>
    <col min="41" max="41" width="28.140625" bestFit="1" customWidth="1"/>
    <col min="42" max="42" width="29.85546875" bestFit="1" customWidth="1"/>
    <col min="43" max="43" width="20.42578125" bestFit="1" customWidth="1"/>
  </cols>
  <sheetData>
    <row r="1" spans="2:43">
      <c r="B1" s="1" t="s">
        <v>372</v>
      </c>
    </row>
    <row r="2" spans="2:43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10</v>
      </c>
      <c r="S2" t="s">
        <v>64</v>
      </c>
      <c r="T2" t="s">
        <v>65</v>
      </c>
      <c r="U2" t="s">
        <v>66</v>
      </c>
      <c r="V2" t="s">
        <v>67</v>
      </c>
      <c r="W2" t="s">
        <v>68</v>
      </c>
      <c r="X2" t="s">
        <v>28</v>
      </c>
      <c r="Y2" t="s">
        <v>69</v>
      </c>
      <c r="Z2" t="s">
        <v>30</v>
      </c>
      <c r="AB2" s="4" t="s">
        <v>105</v>
      </c>
      <c r="AC2" s="18" t="s">
        <v>106</v>
      </c>
      <c r="AD2" s="18"/>
    </row>
    <row r="3" spans="2:43">
      <c r="B3" t="s">
        <v>44</v>
      </c>
      <c r="C3">
        <v>5</v>
      </c>
      <c r="D3" t="s">
        <v>32</v>
      </c>
      <c r="E3">
        <v>1</v>
      </c>
      <c r="F3" t="s">
        <v>33</v>
      </c>
      <c r="G3" t="str">
        <f>IF(OR(F3="x",ISBLANK(F3)),_xlfn.CONCAT(B3,C3,D3),"alexandrín")</f>
        <v>J5Ž</v>
      </c>
      <c r="H3" t="str">
        <f>IF(G3="alexandrín",IF(D3="Ž","ženský","mužský"),"–")</f>
        <v>–</v>
      </c>
      <c r="I3" t="str">
        <f>IF(G3="alexandrín",_xlfn.CONCAT(G3,H3),"–")</f>
        <v>–</v>
      </c>
      <c r="K3" t="s">
        <v>35</v>
      </c>
      <c r="L3" t="s">
        <v>36</v>
      </c>
      <c r="M3" t="s">
        <v>373</v>
      </c>
      <c r="N3" t="s">
        <v>374</v>
      </c>
      <c r="O3" t="s">
        <v>375</v>
      </c>
      <c r="P3">
        <v>2</v>
      </c>
      <c r="Q3" t="s">
        <v>40</v>
      </c>
      <c r="R3" t="s">
        <v>32</v>
      </c>
      <c r="S3">
        <v>6</v>
      </c>
      <c r="T3">
        <v>4</v>
      </c>
      <c r="U3" t="str">
        <f>_xlfn.CONCAT(S3,"/",T3)</f>
        <v>6/4</v>
      </c>
      <c r="V3" t="s">
        <v>41</v>
      </c>
      <c r="W3" t="s">
        <v>50</v>
      </c>
      <c r="X3" t="str">
        <f>_xlfn.CONCAT(V3,"+",W3)</f>
        <v>Adj+N</v>
      </c>
      <c r="Y3">
        <v>2</v>
      </c>
      <c r="AB3" t="s">
        <v>16</v>
      </c>
      <c r="AC3" t="s">
        <v>17</v>
      </c>
      <c r="AD3" t="s">
        <v>18</v>
      </c>
      <c r="AE3" t="s">
        <v>19</v>
      </c>
      <c r="AF3" t="s">
        <v>20</v>
      </c>
      <c r="AG3" t="s">
        <v>21</v>
      </c>
      <c r="AH3" t="s">
        <v>22</v>
      </c>
      <c r="AI3" t="s">
        <v>10</v>
      </c>
      <c r="AJ3" t="s">
        <v>64</v>
      </c>
      <c r="AK3" t="s">
        <v>65</v>
      </c>
      <c r="AL3" t="s">
        <v>66</v>
      </c>
      <c r="AM3" t="s">
        <v>67</v>
      </c>
      <c r="AN3" t="s">
        <v>68</v>
      </c>
      <c r="AO3" t="s">
        <v>28</v>
      </c>
      <c r="AP3" t="s">
        <v>69</v>
      </c>
      <c r="AQ3" t="s">
        <v>107</v>
      </c>
    </row>
    <row r="4" spans="2:43">
      <c r="B4" t="s">
        <v>31</v>
      </c>
      <c r="C4">
        <v>5</v>
      </c>
      <c r="D4" t="s">
        <v>45</v>
      </c>
      <c r="E4" t="s">
        <v>33</v>
      </c>
      <c r="F4" t="s">
        <v>33</v>
      </c>
      <c r="G4" t="s">
        <v>376</v>
      </c>
      <c r="H4" t="str">
        <f t="shared" ref="H4:H34" si="0">IF(G4="alexandrín",IF(D4="Ž","ženský","mužský"),"–")</f>
        <v>–</v>
      </c>
      <c r="I4" t="str">
        <f t="shared" ref="I4:I34" si="1">IF(G4="alexandrín",_xlfn.CONCAT(G4,H4),"–")</f>
        <v>–</v>
      </c>
      <c r="L4" t="s">
        <v>46</v>
      </c>
      <c r="M4" t="s">
        <v>351</v>
      </c>
      <c r="N4" t="s">
        <v>377</v>
      </c>
      <c r="O4" t="s">
        <v>352</v>
      </c>
      <c r="P4">
        <v>1</v>
      </c>
      <c r="Q4" t="s">
        <v>58</v>
      </c>
      <c r="R4" t="s">
        <v>45</v>
      </c>
      <c r="S4">
        <v>1</v>
      </c>
      <c r="T4">
        <v>1</v>
      </c>
      <c r="U4" t="str">
        <f t="shared" ref="U4:U18" si="2">_xlfn.CONCAT(S4,"/",T4)</f>
        <v>1/1</v>
      </c>
      <c r="V4" t="s">
        <v>50</v>
      </c>
      <c r="W4" t="s">
        <v>50</v>
      </c>
      <c r="X4" t="str">
        <f t="shared" ref="X4:X18" si="3">_xlfn.CONCAT(V4,"+",W4)</f>
        <v>N+N</v>
      </c>
      <c r="Y4">
        <v>0</v>
      </c>
      <c r="AB4" t="s">
        <v>35</v>
      </c>
      <c r="AC4" t="s">
        <v>46</v>
      </c>
      <c r="AD4" t="s">
        <v>378</v>
      </c>
      <c r="AE4" t="s">
        <v>379</v>
      </c>
      <c r="AF4" t="s">
        <v>380</v>
      </c>
      <c r="AG4">
        <v>1</v>
      </c>
      <c r="AH4" t="s">
        <v>40</v>
      </c>
      <c r="AI4" t="s">
        <v>45</v>
      </c>
      <c r="AJ4">
        <v>1</v>
      </c>
      <c r="AK4">
        <v>3</v>
      </c>
      <c r="AL4" t="str">
        <f t="shared" ref="AL4" si="4">_xlfn.CONCAT(AJ4,"/",AK4)</f>
        <v>1/3</v>
      </c>
      <c r="AM4" t="s">
        <v>42</v>
      </c>
      <c r="AN4" t="s">
        <v>50</v>
      </c>
      <c r="AO4" t="str">
        <f t="shared" ref="AO4" si="5">_xlfn.CONCAT(AM4,"+",AN4)</f>
        <v>Pron+N</v>
      </c>
      <c r="AP4">
        <v>2</v>
      </c>
      <c r="AQ4" t="s">
        <v>114</v>
      </c>
    </row>
    <row r="5" spans="2:43">
      <c r="B5" t="s">
        <v>31</v>
      </c>
      <c r="C5">
        <v>5</v>
      </c>
      <c r="D5" t="s">
        <v>32</v>
      </c>
      <c r="E5" t="s">
        <v>33</v>
      </c>
      <c r="F5" t="s">
        <v>33</v>
      </c>
      <c r="G5" t="s">
        <v>34</v>
      </c>
      <c r="H5" t="str">
        <f t="shared" si="0"/>
        <v>–</v>
      </c>
      <c r="I5" t="str">
        <f t="shared" si="1"/>
        <v>–</v>
      </c>
      <c r="K5" t="s">
        <v>35</v>
      </c>
      <c r="L5" t="s">
        <v>36</v>
      </c>
      <c r="M5" t="s">
        <v>381</v>
      </c>
      <c r="N5" t="s">
        <v>382</v>
      </c>
      <c r="O5" t="s">
        <v>383</v>
      </c>
      <c r="P5">
        <v>2</v>
      </c>
      <c r="Q5" t="s">
        <v>40</v>
      </c>
      <c r="R5" t="s">
        <v>32</v>
      </c>
      <c r="S5">
        <v>4</v>
      </c>
      <c r="T5">
        <v>2</v>
      </c>
      <c r="U5" t="str">
        <f t="shared" si="2"/>
        <v>4/2</v>
      </c>
      <c r="V5" t="s">
        <v>41</v>
      </c>
      <c r="W5" t="s">
        <v>75</v>
      </c>
      <c r="X5" t="str">
        <f t="shared" si="3"/>
        <v>Adj+V</v>
      </c>
      <c r="Y5">
        <v>2</v>
      </c>
    </row>
    <row r="6" spans="2:43">
      <c r="B6" t="s">
        <v>44</v>
      </c>
      <c r="C6">
        <v>5</v>
      </c>
      <c r="D6" t="s">
        <v>45</v>
      </c>
      <c r="E6">
        <v>0</v>
      </c>
      <c r="F6" t="s">
        <v>33</v>
      </c>
      <c r="G6" t="str">
        <f t="shared" ref="G6:G33" si="6">IF(OR(F6="x",ISBLANK(F6)),_xlfn.CONCAT(B6,C6,D6),"alexandrín")</f>
        <v>J5M</v>
      </c>
      <c r="H6" t="str">
        <f t="shared" si="0"/>
        <v>–</v>
      </c>
      <c r="I6" t="str">
        <f t="shared" si="1"/>
        <v>–</v>
      </c>
      <c r="L6" t="s">
        <v>115</v>
      </c>
    </row>
    <row r="7" spans="2:43" ht="15">
      <c r="B7" t="s">
        <v>31</v>
      </c>
      <c r="C7">
        <v>5</v>
      </c>
      <c r="D7" t="s">
        <v>32</v>
      </c>
      <c r="E7" t="s">
        <v>33</v>
      </c>
      <c r="F7" t="s">
        <v>33</v>
      </c>
      <c r="G7" t="s">
        <v>34</v>
      </c>
      <c r="H7" t="str">
        <f t="shared" si="0"/>
        <v>–</v>
      </c>
      <c r="I7" t="str">
        <f t="shared" si="1"/>
        <v>–</v>
      </c>
      <c r="K7" t="s">
        <v>35</v>
      </c>
      <c r="L7" t="s">
        <v>36</v>
      </c>
      <c r="M7" t="s">
        <v>384</v>
      </c>
      <c r="N7" t="s">
        <v>385</v>
      </c>
      <c r="O7" t="s">
        <v>326</v>
      </c>
      <c r="P7">
        <v>2</v>
      </c>
      <c r="Q7" t="s">
        <v>40</v>
      </c>
      <c r="R7" t="s">
        <v>32</v>
      </c>
      <c r="S7">
        <v>4</v>
      </c>
      <c r="T7">
        <v>2</v>
      </c>
      <c r="U7" t="str">
        <f t="shared" si="2"/>
        <v>4/2</v>
      </c>
      <c r="V7" t="s">
        <v>50</v>
      </c>
      <c r="W7" t="s">
        <v>75</v>
      </c>
      <c r="X7" t="str">
        <f t="shared" si="3"/>
        <v>N+V</v>
      </c>
      <c r="Y7">
        <v>2</v>
      </c>
      <c r="AB7" s="4" t="s">
        <v>59</v>
      </c>
      <c r="AC7" s="4" t="s">
        <v>60</v>
      </c>
    </row>
    <row r="8" spans="2:43">
      <c r="B8" t="s">
        <v>44</v>
      </c>
      <c r="C8">
        <v>5</v>
      </c>
      <c r="D8" t="s">
        <v>45</v>
      </c>
      <c r="E8">
        <v>2</v>
      </c>
      <c r="F8" t="s">
        <v>33</v>
      </c>
      <c r="G8" t="str">
        <f t="shared" si="6"/>
        <v>J5M</v>
      </c>
      <c r="H8" t="str">
        <f t="shared" si="0"/>
        <v>–</v>
      </c>
      <c r="I8" t="str">
        <f t="shared" si="1"/>
        <v>–</v>
      </c>
      <c r="L8" t="s">
        <v>46</v>
      </c>
      <c r="M8" t="s">
        <v>386</v>
      </c>
      <c r="N8" t="s">
        <v>387</v>
      </c>
      <c r="O8" t="s">
        <v>388</v>
      </c>
      <c r="P8">
        <v>1</v>
      </c>
      <c r="Q8" t="s">
        <v>58</v>
      </c>
      <c r="R8" t="s">
        <v>45</v>
      </c>
      <c r="S8">
        <v>1</v>
      </c>
      <c r="T8">
        <v>1</v>
      </c>
      <c r="U8" t="str">
        <f t="shared" si="2"/>
        <v>1/1</v>
      </c>
      <c r="V8" t="s">
        <v>50</v>
      </c>
      <c r="W8" t="s">
        <v>50</v>
      </c>
      <c r="X8" t="str">
        <f t="shared" si="3"/>
        <v>N+N</v>
      </c>
      <c r="Y8">
        <v>0</v>
      </c>
      <c r="Z8" t="s">
        <v>122</v>
      </c>
      <c r="AB8" t="s">
        <v>16</v>
      </c>
      <c r="AC8" t="s">
        <v>17</v>
      </c>
      <c r="AD8" t="s">
        <v>18</v>
      </c>
      <c r="AE8" t="s">
        <v>19</v>
      </c>
      <c r="AF8" t="s">
        <v>20</v>
      </c>
      <c r="AG8" t="s">
        <v>21</v>
      </c>
      <c r="AH8" t="s">
        <v>22</v>
      </c>
      <c r="AI8" t="s">
        <v>10</v>
      </c>
      <c r="AJ8" t="s">
        <v>64</v>
      </c>
      <c r="AK8" t="s">
        <v>65</v>
      </c>
      <c r="AL8" t="s">
        <v>66</v>
      </c>
      <c r="AM8" t="s">
        <v>67</v>
      </c>
      <c r="AN8" t="s">
        <v>68</v>
      </c>
      <c r="AO8" t="s">
        <v>28</v>
      </c>
      <c r="AP8" t="s">
        <v>69</v>
      </c>
      <c r="AQ8" t="s">
        <v>70</v>
      </c>
    </row>
    <row r="9" spans="2:43">
      <c r="B9" t="s">
        <v>44</v>
      </c>
      <c r="C9">
        <v>5</v>
      </c>
      <c r="D9" t="s">
        <v>32</v>
      </c>
      <c r="E9">
        <v>0</v>
      </c>
      <c r="F9" t="s">
        <v>33</v>
      </c>
      <c r="G9" t="str">
        <f t="shared" si="6"/>
        <v>J5Ž</v>
      </c>
      <c r="H9" t="str">
        <f t="shared" si="0"/>
        <v>–</v>
      </c>
      <c r="I9" t="str">
        <f t="shared" si="1"/>
        <v>–</v>
      </c>
      <c r="K9" t="s">
        <v>35</v>
      </c>
      <c r="L9" t="s">
        <v>36</v>
      </c>
      <c r="M9" t="s">
        <v>389</v>
      </c>
      <c r="N9" t="s">
        <v>390</v>
      </c>
      <c r="O9" t="s">
        <v>391</v>
      </c>
      <c r="P9">
        <v>2</v>
      </c>
      <c r="Q9" t="s">
        <v>40</v>
      </c>
      <c r="R9" t="s">
        <v>32</v>
      </c>
      <c r="S9">
        <v>4</v>
      </c>
      <c r="T9">
        <v>4</v>
      </c>
      <c r="U9" t="str">
        <f t="shared" si="2"/>
        <v>4/4</v>
      </c>
      <c r="V9" t="s">
        <v>75</v>
      </c>
      <c r="W9" t="s">
        <v>75</v>
      </c>
      <c r="X9" t="str">
        <f t="shared" si="3"/>
        <v>V+V</v>
      </c>
      <c r="Y9">
        <v>1</v>
      </c>
      <c r="AB9" t="s">
        <v>35</v>
      </c>
      <c r="AC9" t="s">
        <v>46</v>
      </c>
      <c r="AD9" t="s">
        <v>386</v>
      </c>
      <c r="AE9" t="s">
        <v>387</v>
      </c>
      <c r="AF9" t="s">
        <v>388</v>
      </c>
      <c r="AG9">
        <v>1</v>
      </c>
      <c r="AH9" t="s">
        <v>58</v>
      </c>
      <c r="AI9" t="s">
        <v>45</v>
      </c>
      <c r="AJ9">
        <v>1</v>
      </c>
      <c r="AK9">
        <v>1</v>
      </c>
      <c r="AL9" t="str">
        <f>_xlfn.CONCAT(AJ9,"/",AK9)</f>
        <v>1/1</v>
      </c>
      <c r="AM9" t="s">
        <v>50</v>
      </c>
      <c r="AN9" t="s">
        <v>50</v>
      </c>
      <c r="AO9" t="str">
        <f>_xlfn.CONCAT(AM9,"+",AN9)</f>
        <v>N+N</v>
      </c>
      <c r="AP9">
        <v>0</v>
      </c>
      <c r="AQ9" t="s">
        <v>135</v>
      </c>
    </row>
    <row r="10" spans="2:43">
      <c r="B10" t="s">
        <v>44</v>
      </c>
      <c r="C10">
        <v>6</v>
      </c>
      <c r="D10" t="s">
        <v>45</v>
      </c>
      <c r="E10">
        <v>0</v>
      </c>
      <c r="F10">
        <v>1</v>
      </c>
      <c r="G10" t="str">
        <f t="shared" si="6"/>
        <v>alexandrín</v>
      </c>
      <c r="H10" t="str">
        <f t="shared" si="0"/>
        <v>mužský</v>
      </c>
      <c r="I10" t="str">
        <f t="shared" si="1"/>
        <v>alexandrínmužský</v>
      </c>
      <c r="L10" t="s">
        <v>46</v>
      </c>
      <c r="M10" t="s">
        <v>392</v>
      </c>
      <c r="N10" t="s">
        <v>393</v>
      </c>
      <c r="O10" t="s">
        <v>394</v>
      </c>
      <c r="P10">
        <v>1</v>
      </c>
      <c r="Q10" t="s">
        <v>58</v>
      </c>
      <c r="R10" t="s">
        <v>45</v>
      </c>
      <c r="S10">
        <v>1</v>
      </c>
      <c r="T10">
        <v>1</v>
      </c>
      <c r="U10" t="str">
        <f t="shared" si="2"/>
        <v>1/1</v>
      </c>
      <c r="V10" t="s">
        <v>50</v>
      </c>
      <c r="W10" t="s">
        <v>50</v>
      </c>
      <c r="X10" t="str">
        <f t="shared" si="3"/>
        <v>N+N</v>
      </c>
      <c r="Y10">
        <v>1</v>
      </c>
      <c r="Z10" t="s">
        <v>370</v>
      </c>
      <c r="AB10" t="s">
        <v>35</v>
      </c>
      <c r="AC10" t="s">
        <v>46</v>
      </c>
      <c r="AD10" t="s">
        <v>395</v>
      </c>
      <c r="AE10" t="s">
        <v>396</v>
      </c>
      <c r="AF10" t="s">
        <v>397</v>
      </c>
      <c r="AG10">
        <v>1</v>
      </c>
      <c r="AH10" t="s">
        <v>58</v>
      </c>
      <c r="AI10" t="s">
        <v>45</v>
      </c>
      <c r="AJ10">
        <v>1</v>
      </c>
      <c r="AK10">
        <v>1</v>
      </c>
      <c r="AL10" t="str">
        <f>_xlfn.CONCAT(AJ10,"/",AK10)</f>
        <v>1/1</v>
      </c>
      <c r="AM10" t="s">
        <v>50</v>
      </c>
      <c r="AN10" t="s">
        <v>50</v>
      </c>
      <c r="AO10" t="str">
        <f>_xlfn.CONCAT(AM10,"+",AN10)</f>
        <v>N+N</v>
      </c>
      <c r="AP10">
        <v>1</v>
      </c>
      <c r="AQ10" t="s">
        <v>77</v>
      </c>
    </row>
    <row r="11" spans="2:43">
      <c r="B11" t="s">
        <v>31</v>
      </c>
      <c r="C11">
        <v>5</v>
      </c>
      <c r="D11" t="s">
        <v>32</v>
      </c>
      <c r="E11" t="s">
        <v>33</v>
      </c>
      <c r="F11" t="s">
        <v>33</v>
      </c>
      <c r="G11" t="s">
        <v>212</v>
      </c>
      <c r="H11" t="str">
        <f t="shared" si="0"/>
        <v>–</v>
      </c>
      <c r="I11" t="str">
        <f t="shared" si="1"/>
        <v>–</v>
      </c>
      <c r="K11" t="s">
        <v>35</v>
      </c>
      <c r="L11" t="s">
        <v>36</v>
      </c>
      <c r="M11" t="s">
        <v>398</v>
      </c>
      <c r="N11" t="s">
        <v>399</v>
      </c>
      <c r="O11" t="s">
        <v>400</v>
      </c>
      <c r="P11">
        <v>2</v>
      </c>
      <c r="Q11" t="s">
        <v>40</v>
      </c>
      <c r="R11" t="s">
        <v>32</v>
      </c>
      <c r="S11">
        <v>2</v>
      </c>
      <c r="T11">
        <v>4</v>
      </c>
      <c r="U11" t="str">
        <f t="shared" si="2"/>
        <v>2/4</v>
      </c>
      <c r="V11" t="s">
        <v>41</v>
      </c>
      <c r="W11" t="s">
        <v>75</v>
      </c>
      <c r="X11" t="str">
        <f t="shared" si="3"/>
        <v>Adj+V</v>
      </c>
      <c r="Y11">
        <v>2</v>
      </c>
    </row>
    <row r="12" spans="2:43">
      <c r="B12" t="s">
        <v>44</v>
      </c>
      <c r="C12">
        <v>5</v>
      </c>
      <c r="D12" t="s">
        <v>45</v>
      </c>
      <c r="E12">
        <v>2</v>
      </c>
      <c r="F12" t="s">
        <v>33</v>
      </c>
      <c r="G12" t="str">
        <f t="shared" si="6"/>
        <v>J5M</v>
      </c>
      <c r="H12" t="str">
        <f t="shared" si="0"/>
        <v>–</v>
      </c>
      <c r="I12" t="str">
        <f t="shared" si="1"/>
        <v>–</v>
      </c>
      <c r="L12" t="s">
        <v>46</v>
      </c>
      <c r="M12" t="s">
        <v>401</v>
      </c>
      <c r="N12" t="s">
        <v>402</v>
      </c>
      <c r="O12" t="s">
        <v>403</v>
      </c>
      <c r="P12">
        <v>2</v>
      </c>
      <c r="Q12" t="s">
        <v>40</v>
      </c>
      <c r="R12" t="s">
        <v>45</v>
      </c>
      <c r="S12">
        <v>3</v>
      </c>
      <c r="T12">
        <v>3</v>
      </c>
      <c r="U12" t="str">
        <f t="shared" si="2"/>
        <v>3/3</v>
      </c>
      <c r="V12" t="s">
        <v>50</v>
      </c>
      <c r="W12" t="s">
        <v>50</v>
      </c>
      <c r="X12" t="str">
        <f t="shared" si="3"/>
        <v>N+N</v>
      </c>
      <c r="Y12">
        <v>0</v>
      </c>
      <c r="Z12" t="s">
        <v>370</v>
      </c>
    </row>
    <row r="13" spans="2:43" ht="15">
      <c r="B13" t="s">
        <v>44</v>
      </c>
      <c r="C13">
        <v>5</v>
      </c>
      <c r="D13" t="s">
        <v>32</v>
      </c>
      <c r="E13">
        <v>0</v>
      </c>
      <c r="F13" t="s">
        <v>33</v>
      </c>
      <c r="G13" t="str">
        <f t="shared" si="6"/>
        <v>J5Ž</v>
      </c>
      <c r="H13" t="str">
        <f t="shared" si="0"/>
        <v>–</v>
      </c>
      <c r="I13" t="str">
        <f t="shared" si="1"/>
        <v>–</v>
      </c>
      <c r="K13" t="s">
        <v>35</v>
      </c>
      <c r="L13" t="s">
        <v>36</v>
      </c>
      <c r="M13" t="s">
        <v>404</v>
      </c>
      <c r="N13" t="s">
        <v>405</v>
      </c>
      <c r="O13" t="s">
        <v>406</v>
      </c>
      <c r="P13">
        <v>2</v>
      </c>
      <c r="Q13" t="s">
        <v>40</v>
      </c>
      <c r="R13" t="s">
        <v>32</v>
      </c>
      <c r="S13">
        <v>2</v>
      </c>
      <c r="T13">
        <v>2</v>
      </c>
      <c r="U13" t="str">
        <f t="shared" si="2"/>
        <v>2/2</v>
      </c>
      <c r="V13" t="s">
        <v>41</v>
      </c>
      <c r="W13" t="s">
        <v>50</v>
      </c>
      <c r="X13" t="str">
        <f t="shared" si="3"/>
        <v>Adj+N</v>
      </c>
      <c r="Y13">
        <v>2</v>
      </c>
      <c r="AB13" s="4" t="s">
        <v>84</v>
      </c>
      <c r="AC13" s="4" t="s">
        <v>85</v>
      </c>
    </row>
    <row r="14" spans="2:43">
      <c r="B14" t="s">
        <v>44</v>
      </c>
      <c r="C14">
        <v>5</v>
      </c>
      <c r="D14" t="s">
        <v>45</v>
      </c>
      <c r="E14">
        <v>0</v>
      </c>
      <c r="F14" t="s">
        <v>33</v>
      </c>
      <c r="G14" t="str">
        <f t="shared" si="6"/>
        <v>J5M</v>
      </c>
      <c r="H14" t="str">
        <f t="shared" si="0"/>
        <v>–</v>
      </c>
      <c r="I14" t="str">
        <f t="shared" si="1"/>
        <v>–</v>
      </c>
      <c r="L14" t="s">
        <v>46</v>
      </c>
      <c r="M14" t="s">
        <v>395</v>
      </c>
      <c r="N14" t="s">
        <v>396</v>
      </c>
      <c r="O14" t="s">
        <v>397</v>
      </c>
      <c r="P14">
        <v>1</v>
      </c>
      <c r="Q14" t="s">
        <v>58</v>
      </c>
      <c r="R14" t="s">
        <v>45</v>
      </c>
      <c r="S14">
        <v>1</v>
      </c>
      <c r="T14">
        <v>1</v>
      </c>
      <c r="U14" t="str">
        <f t="shared" si="2"/>
        <v>1/1</v>
      </c>
      <c r="V14" t="s">
        <v>50</v>
      </c>
      <c r="W14" t="s">
        <v>50</v>
      </c>
      <c r="X14" t="str">
        <f t="shared" si="3"/>
        <v>N+N</v>
      </c>
      <c r="Y14">
        <v>1</v>
      </c>
      <c r="Z14" t="s">
        <v>43</v>
      </c>
      <c r="AB14" t="s">
        <v>16</v>
      </c>
      <c r="AC14" t="s">
        <v>17</v>
      </c>
      <c r="AD14" t="s">
        <v>18</v>
      </c>
      <c r="AE14" t="s">
        <v>19</v>
      </c>
      <c r="AF14" t="s">
        <v>20</v>
      </c>
      <c r="AG14" t="s">
        <v>21</v>
      </c>
      <c r="AH14" t="s">
        <v>22</v>
      </c>
      <c r="AI14" t="s">
        <v>10</v>
      </c>
      <c r="AJ14" t="s">
        <v>64</v>
      </c>
      <c r="AK14" t="s">
        <v>65</v>
      </c>
      <c r="AL14" t="s">
        <v>66</v>
      </c>
      <c r="AM14" t="s">
        <v>67</v>
      </c>
      <c r="AN14" t="s">
        <v>68</v>
      </c>
      <c r="AO14" t="s">
        <v>28</v>
      </c>
      <c r="AP14" t="s">
        <v>69</v>
      </c>
      <c r="AQ14" t="s">
        <v>91</v>
      </c>
    </row>
    <row r="15" spans="2:43">
      <c r="B15" t="s">
        <v>44</v>
      </c>
      <c r="C15">
        <v>5</v>
      </c>
      <c r="D15" t="s">
        <v>32</v>
      </c>
      <c r="E15">
        <v>1</v>
      </c>
      <c r="F15" t="s">
        <v>33</v>
      </c>
      <c r="G15" t="str">
        <f t="shared" si="6"/>
        <v>J5Ž</v>
      </c>
      <c r="H15" t="str">
        <f t="shared" si="0"/>
        <v>–</v>
      </c>
      <c r="I15" t="str">
        <f t="shared" si="1"/>
        <v>–</v>
      </c>
      <c r="K15" t="s">
        <v>35</v>
      </c>
      <c r="L15" t="s">
        <v>36</v>
      </c>
      <c r="M15" t="s">
        <v>407</v>
      </c>
      <c r="N15" t="s">
        <v>408</v>
      </c>
      <c r="O15" t="s">
        <v>409</v>
      </c>
      <c r="P15">
        <v>2</v>
      </c>
      <c r="Q15" t="s">
        <v>40</v>
      </c>
      <c r="R15" t="s">
        <v>32</v>
      </c>
      <c r="S15">
        <v>2</v>
      </c>
      <c r="T15">
        <v>2</v>
      </c>
      <c r="U15" t="str">
        <f t="shared" si="2"/>
        <v>2/2</v>
      </c>
      <c r="V15" t="s">
        <v>75</v>
      </c>
      <c r="W15" t="s">
        <v>50</v>
      </c>
      <c r="X15" t="str">
        <f t="shared" si="3"/>
        <v>V+N</v>
      </c>
      <c r="Y15">
        <v>2</v>
      </c>
      <c r="AB15" t="s">
        <v>35</v>
      </c>
      <c r="AC15" t="s">
        <v>46</v>
      </c>
      <c r="AD15" t="s">
        <v>392</v>
      </c>
      <c r="AE15" t="s">
        <v>393</v>
      </c>
      <c r="AF15" t="s">
        <v>394</v>
      </c>
      <c r="AG15">
        <v>1</v>
      </c>
      <c r="AH15" t="s">
        <v>58</v>
      </c>
      <c r="AI15" t="s">
        <v>45</v>
      </c>
      <c r="AJ15">
        <v>1</v>
      </c>
      <c r="AK15">
        <v>1</v>
      </c>
      <c r="AL15" t="str">
        <f t="shared" ref="AL15:AL16" si="7">_xlfn.CONCAT(AJ15,"/",AK15)</f>
        <v>1/1</v>
      </c>
      <c r="AM15" t="s">
        <v>50</v>
      </c>
      <c r="AN15" t="s">
        <v>50</v>
      </c>
      <c r="AO15" t="str">
        <f t="shared" ref="AO15:AO16" si="8">_xlfn.CONCAT(AM15,"+",AN15)</f>
        <v>N+N</v>
      </c>
      <c r="AP15">
        <v>1</v>
      </c>
      <c r="AQ15" t="s">
        <v>135</v>
      </c>
    </row>
    <row r="16" spans="2:43">
      <c r="B16" t="s">
        <v>44</v>
      </c>
      <c r="C16">
        <v>5</v>
      </c>
      <c r="D16" t="s">
        <v>45</v>
      </c>
      <c r="E16">
        <v>0</v>
      </c>
      <c r="F16" t="s">
        <v>33</v>
      </c>
      <c r="G16" t="str">
        <f t="shared" si="6"/>
        <v>J5M</v>
      </c>
      <c r="H16" t="str">
        <f t="shared" si="0"/>
        <v>–</v>
      </c>
      <c r="I16" t="str">
        <f t="shared" si="1"/>
        <v>–</v>
      </c>
      <c r="L16" t="s">
        <v>46</v>
      </c>
      <c r="M16" t="s">
        <v>410</v>
      </c>
      <c r="N16" t="s">
        <v>411</v>
      </c>
      <c r="O16" t="s">
        <v>412</v>
      </c>
      <c r="P16">
        <v>2</v>
      </c>
      <c r="Q16" t="s">
        <v>40</v>
      </c>
      <c r="R16" t="s">
        <v>45</v>
      </c>
      <c r="S16">
        <v>3</v>
      </c>
      <c r="T16">
        <v>3</v>
      </c>
      <c r="U16" t="str">
        <f t="shared" si="2"/>
        <v>3/3</v>
      </c>
      <c r="V16" t="s">
        <v>50</v>
      </c>
      <c r="W16" t="s">
        <v>75</v>
      </c>
      <c r="X16" t="str">
        <f t="shared" si="3"/>
        <v>N+V</v>
      </c>
      <c r="Y16">
        <v>2</v>
      </c>
      <c r="AB16" t="s">
        <v>35</v>
      </c>
      <c r="AC16" t="s">
        <v>46</v>
      </c>
      <c r="AD16" t="s">
        <v>413</v>
      </c>
      <c r="AE16" t="s">
        <v>402</v>
      </c>
      <c r="AF16" t="s">
        <v>403</v>
      </c>
      <c r="AG16">
        <v>2</v>
      </c>
      <c r="AH16" t="s">
        <v>40</v>
      </c>
      <c r="AI16" t="s">
        <v>45</v>
      </c>
      <c r="AJ16">
        <v>3</v>
      </c>
      <c r="AK16">
        <v>3</v>
      </c>
      <c r="AL16" t="str">
        <f t="shared" si="7"/>
        <v>3/3</v>
      </c>
      <c r="AM16" t="s">
        <v>50</v>
      </c>
      <c r="AN16" t="s">
        <v>50</v>
      </c>
      <c r="AO16" t="str">
        <f t="shared" si="8"/>
        <v>N+N</v>
      </c>
      <c r="AP16">
        <v>0</v>
      </c>
      <c r="AQ16" t="s">
        <v>135</v>
      </c>
    </row>
    <row r="17" spans="2:43">
      <c r="B17" t="s">
        <v>31</v>
      </c>
      <c r="C17">
        <v>5</v>
      </c>
      <c r="D17" t="s">
        <v>32</v>
      </c>
      <c r="E17" t="s">
        <v>33</v>
      </c>
      <c r="F17" t="s">
        <v>33</v>
      </c>
      <c r="G17" t="s">
        <v>212</v>
      </c>
      <c r="H17" t="str">
        <f t="shared" si="0"/>
        <v>–</v>
      </c>
      <c r="I17" t="str">
        <f t="shared" si="1"/>
        <v>–</v>
      </c>
      <c r="K17" t="s">
        <v>35</v>
      </c>
      <c r="L17" t="s">
        <v>36</v>
      </c>
      <c r="M17" t="s">
        <v>414</v>
      </c>
      <c r="N17" t="s">
        <v>415</v>
      </c>
      <c r="O17" t="s">
        <v>416</v>
      </c>
      <c r="P17">
        <v>2</v>
      </c>
      <c r="Q17" t="s">
        <v>40</v>
      </c>
      <c r="R17" t="s">
        <v>32</v>
      </c>
      <c r="S17">
        <v>2</v>
      </c>
      <c r="T17">
        <v>2</v>
      </c>
      <c r="U17" t="str">
        <f t="shared" si="2"/>
        <v>2/2</v>
      </c>
      <c r="V17" t="s">
        <v>50</v>
      </c>
      <c r="W17" t="s">
        <v>50</v>
      </c>
      <c r="X17" t="str">
        <f t="shared" si="3"/>
        <v>N+N</v>
      </c>
      <c r="Y17">
        <v>1</v>
      </c>
      <c r="AB17" t="s">
        <v>35</v>
      </c>
      <c r="AC17" t="s">
        <v>46</v>
      </c>
      <c r="AD17" t="s">
        <v>395</v>
      </c>
      <c r="AE17" t="s">
        <v>396</v>
      </c>
      <c r="AF17" t="s">
        <v>397</v>
      </c>
      <c r="AG17">
        <v>1</v>
      </c>
      <c r="AH17" t="s">
        <v>58</v>
      </c>
      <c r="AI17" t="s">
        <v>45</v>
      </c>
      <c r="AJ17">
        <v>1</v>
      </c>
      <c r="AK17">
        <v>1</v>
      </c>
      <c r="AL17" t="str">
        <f>_xlfn.CONCAT(AJ17,"/",AK17)</f>
        <v>1/1</v>
      </c>
      <c r="AM17" t="s">
        <v>50</v>
      </c>
      <c r="AN17" t="s">
        <v>50</v>
      </c>
      <c r="AO17" t="str">
        <f>_xlfn.CONCAT(AM17,"+",AN17)</f>
        <v>N+N</v>
      </c>
      <c r="AP17">
        <v>1</v>
      </c>
      <c r="AQ17" t="s">
        <v>77</v>
      </c>
    </row>
    <row r="18" spans="2:43">
      <c r="B18" t="s">
        <v>44</v>
      </c>
      <c r="C18">
        <v>5</v>
      </c>
      <c r="D18" t="s">
        <v>45</v>
      </c>
      <c r="E18">
        <v>1</v>
      </c>
      <c r="F18" t="s">
        <v>33</v>
      </c>
      <c r="G18" t="str">
        <f t="shared" si="6"/>
        <v>J5M</v>
      </c>
      <c r="H18" t="str">
        <f t="shared" si="0"/>
        <v>–</v>
      </c>
      <c r="I18" t="str">
        <f t="shared" si="1"/>
        <v>–</v>
      </c>
      <c r="L18" t="s">
        <v>46</v>
      </c>
      <c r="M18" t="s">
        <v>417</v>
      </c>
      <c r="N18" t="s">
        <v>418</v>
      </c>
      <c r="O18" t="s">
        <v>419</v>
      </c>
      <c r="P18">
        <v>2</v>
      </c>
      <c r="Q18" t="s">
        <v>40</v>
      </c>
      <c r="R18" t="s">
        <v>146</v>
      </c>
      <c r="S18">
        <v>3</v>
      </c>
      <c r="T18">
        <v>3</v>
      </c>
      <c r="U18" t="str">
        <f t="shared" si="2"/>
        <v>3/3</v>
      </c>
      <c r="V18" t="s">
        <v>41</v>
      </c>
      <c r="W18" t="s">
        <v>41</v>
      </c>
      <c r="X18" t="str">
        <f t="shared" si="3"/>
        <v>Adj+Adj</v>
      </c>
      <c r="Y18">
        <v>0</v>
      </c>
    </row>
    <row r="19" spans="2:43">
      <c r="B19" t="s">
        <v>44</v>
      </c>
      <c r="C19">
        <v>5</v>
      </c>
      <c r="D19" t="s">
        <v>32</v>
      </c>
      <c r="E19">
        <v>1</v>
      </c>
      <c r="F19" t="s">
        <v>33</v>
      </c>
      <c r="G19" t="str">
        <f t="shared" si="6"/>
        <v>J5Ž</v>
      </c>
      <c r="H19" t="str">
        <f t="shared" si="0"/>
        <v>–</v>
      </c>
      <c r="I19" t="str">
        <f t="shared" si="1"/>
        <v>–</v>
      </c>
    </row>
    <row r="20" spans="2:43">
      <c r="B20" t="s">
        <v>44</v>
      </c>
      <c r="C20">
        <v>5</v>
      </c>
      <c r="D20" t="s">
        <v>45</v>
      </c>
      <c r="E20">
        <v>1</v>
      </c>
      <c r="F20" t="s">
        <v>33</v>
      </c>
      <c r="G20" t="str">
        <f t="shared" si="6"/>
        <v>J5M</v>
      </c>
      <c r="H20" t="str">
        <f t="shared" si="0"/>
        <v>–</v>
      </c>
      <c r="I20" t="str">
        <f t="shared" si="1"/>
        <v>–</v>
      </c>
    </row>
    <row r="21" spans="2:43">
      <c r="B21" t="s">
        <v>44</v>
      </c>
      <c r="C21">
        <v>5</v>
      </c>
      <c r="D21" t="s">
        <v>32</v>
      </c>
      <c r="E21">
        <v>0</v>
      </c>
      <c r="F21" t="s">
        <v>33</v>
      </c>
      <c r="G21" t="str">
        <f t="shared" si="6"/>
        <v>J5Ž</v>
      </c>
      <c r="H21" t="str">
        <f t="shared" si="0"/>
        <v>–</v>
      </c>
      <c r="I21" t="str">
        <f t="shared" si="1"/>
        <v>–</v>
      </c>
    </row>
    <row r="22" spans="2:43">
      <c r="B22" t="s">
        <v>44</v>
      </c>
      <c r="C22">
        <v>5</v>
      </c>
      <c r="D22" t="s">
        <v>45</v>
      </c>
      <c r="E22">
        <v>1</v>
      </c>
      <c r="F22" t="s">
        <v>33</v>
      </c>
      <c r="G22" t="str">
        <f t="shared" si="6"/>
        <v>J5M</v>
      </c>
      <c r="H22" t="str">
        <f t="shared" si="0"/>
        <v>–</v>
      </c>
      <c r="I22" t="str">
        <f t="shared" si="1"/>
        <v>–</v>
      </c>
      <c r="K22" s="4"/>
      <c r="L22" s="19"/>
      <c r="M22" s="19"/>
    </row>
    <row r="23" spans="2:43">
      <c r="B23" t="s">
        <v>44</v>
      </c>
      <c r="C23">
        <v>5</v>
      </c>
      <c r="D23" t="s">
        <v>32</v>
      </c>
      <c r="E23">
        <v>1</v>
      </c>
      <c r="F23" t="s">
        <v>33</v>
      </c>
      <c r="G23" t="str">
        <f t="shared" si="6"/>
        <v>J5Ž</v>
      </c>
      <c r="H23" t="str">
        <f t="shared" si="0"/>
        <v>–</v>
      </c>
      <c r="I23" t="str">
        <f t="shared" si="1"/>
        <v>–</v>
      </c>
    </row>
    <row r="24" spans="2:43">
      <c r="B24" t="s">
        <v>44</v>
      </c>
      <c r="C24">
        <v>5</v>
      </c>
      <c r="D24" t="s">
        <v>45</v>
      </c>
      <c r="E24">
        <v>1</v>
      </c>
      <c r="F24" t="s">
        <v>33</v>
      </c>
      <c r="G24" t="str">
        <f t="shared" si="6"/>
        <v>J5M</v>
      </c>
      <c r="H24" t="str">
        <f t="shared" si="0"/>
        <v>–</v>
      </c>
      <c r="I24" t="str">
        <f t="shared" si="1"/>
        <v>–</v>
      </c>
    </row>
    <row r="25" spans="2:43">
      <c r="B25" t="s">
        <v>44</v>
      </c>
      <c r="C25">
        <v>6</v>
      </c>
      <c r="D25" t="s">
        <v>32</v>
      </c>
      <c r="E25">
        <v>0</v>
      </c>
      <c r="F25">
        <v>0</v>
      </c>
      <c r="G25" t="str">
        <f t="shared" si="6"/>
        <v>alexandrín</v>
      </c>
      <c r="H25" t="str">
        <f t="shared" si="0"/>
        <v>ženský</v>
      </c>
      <c r="I25" t="str">
        <f t="shared" si="1"/>
        <v>alexandrínženský</v>
      </c>
    </row>
    <row r="26" spans="2:43">
      <c r="B26" t="s">
        <v>44</v>
      </c>
      <c r="C26">
        <v>6</v>
      </c>
      <c r="D26" t="s">
        <v>45</v>
      </c>
      <c r="E26">
        <v>0</v>
      </c>
      <c r="F26">
        <v>0</v>
      </c>
      <c r="G26" t="str">
        <f t="shared" si="6"/>
        <v>alexandrín</v>
      </c>
      <c r="H26" t="str">
        <f t="shared" si="0"/>
        <v>mužský</v>
      </c>
      <c r="I26" t="str">
        <f t="shared" si="1"/>
        <v>alexandrínmužský</v>
      </c>
    </row>
    <row r="27" spans="2:43">
      <c r="B27" t="s">
        <v>44</v>
      </c>
      <c r="C27">
        <v>5</v>
      </c>
      <c r="D27" t="s">
        <v>32</v>
      </c>
      <c r="E27">
        <v>1</v>
      </c>
      <c r="F27" t="s">
        <v>33</v>
      </c>
      <c r="G27" t="str">
        <f t="shared" si="6"/>
        <v>J5Ž</v>
      </c>
      <c r="H27" t="str">
        <f t="shared" si="0"/>
        <v>–</v>
      </c>
      <c r="I27" t="str">
        <f t="shared" si="1"/>
        <v>–</v>
      </c>
    </row>
    <row r="28" spans="2:43">
      <c r="B28" t="s">
        <v>44</v>
      </c>
      <c r="C28">
        <v>5</v>
      </c>
      <c r="D28" t="s">
        <v>45</v>
      </c>
      <c r="E28">
        <v>0</v>
      </c>
      <c r="F28" t="s">
        <v>33</v>
      </c>
      <c r="G28" t="str">
        <f t="shared" si="6"/>
        <v>J5M</v>
      </c>
      <c r="H28" t="str">
        <f t="shared" si="0"/>
        <v>–</v>
      </c>
      <c r="I28" t="str">
        <f t="shared" si="1"/>
        <v>–</v>
      </c>
    </row>
    <row r="29" spans="2:43">
      <c r="B29" t="s">
        <v>44</v>
      </c>
      <c r="C29">
        <v>5</v>
      </c>
      <c r="D29" t="s">
        <v>32</v>
      </c>
      <c r="E29">
        <v>1</v>
      </c>
      <c r="F29">
        <v>0</v>
      </c>
      <c r="G29" t="str">
        <f t="shared" si="6"/>
        <v>alexandrín</v>
      </c>
      <c r="H29" t="str">
        <f t="shared" si="0"/>
        <v>ženský</v>
      </c>
      <c r="I29" t="str">
        <f t="shared" si="1"/>
        <v>alexandrínženský</v>
      </c>
    </row>
    <row r="30" spans="2:43">
      <c r="B30" t="s">
        <v>44</v>
      </c>
      <c r="C30">
        <v>5</v>
      </c>
      <c r="D30" t="s">
        <v>45</v>
      </c>
      <c r="E30">
        <v>1</v>
      </c>
      <c r="F30" t="s">
        <v>33</v>
      </c>
      <c r="G30" t="str">
        <f t="shared" si="6"/>
        <v>J5M</v>
      </c>
      <c r="H30" t="str">
        <f t="shared" si="0"/>
        <v>–</v>
      </c>
      <c r="I30" t="str">
        <f t="shared" si="1"/>
        <v>–</v>
      </c>
    </row>
    <row r="31" spans="2:43">
      <c r="B31" t="s">
        <v>44</v>
      </c>
      <c r="C31">
        <v>5</v>
      </c>
      <c r="D31" t="s">
        <v>32</v>
      </c>
      <c r="E31">
        <v>0</v>
      </c>
      <c r="F31" t="s">
        <v>33</v>
      </c>
      <c r="G31" t="str">
        <f t="shared" si="6"/>
        <v>J5Ž</v>
      </c>
      <c r="H31" t="str">
        <f t="shared" si="0"/>
        <v>–</v>
      </c>
      <c r="I31" t="str">
        <f t="shared" si="1"/>
        <v>–</v>
      </c>
    </row>
    <row r="32" spans="2:43">
      <c r="B32" t="s">
        <v>44</v>
      </c>
      <c r="C32">
        <v>5</v>
      </c>
      <c r="D32" t="s">
        <v>45</v>
      </c>
      <c r="E32">
        <v>1</v>
      </c>
      <c r="F32" t="s">
        <v>33</v>
      </c>
      <c r="G32" t="str">
        <f t="shared" si="6"/>
        <v>J5M</v>
      </c>
      <c r="H32" t="str">
        <f t="shared" si="0"/>
        <v>–</v>
      </c>
      <c r="I32" t="str">
        <f t="shared" si="1"/>
        <v>–</v>
      </c>
    </row>
    <row r="33" spans="2:9">
      <c r="B33" t="s">
        <v>44</v>
      </c>
      <c r="C33">
        <v>5</v>
      </c>
      <c r="D33" t="s">
        <v>32</v>
      </c>
      <c r="E33">
        <v>0</v>
      </c>
      <c r="F33" t="s">
        <v>33</v>
      </c>
      <c r="G33" t="str">
        <f t="shared" si="6"/>
        <v>J5Ž</v>
      </c>
      <c r="H33" t="str">
        <f t="shared" si="0"/>
        <v>–</v>
      </c>
      <c r="I33" t="str">
        <f t="shared" si="1"/>
        <v>–</v>
      </c>
    </row>
    <row r="34" spans="2:9">
      <c r="B34" t="s">
        <v>31</v>
      </c>
      <c r="C34">
        <v>4</v>
      </c>
      <c r="D34" t="s">
        <v>102</v>
      </c>
      <c r="E34" t="s">
        <v>33</v>
      </c>
      <c r="F34" t="s">
        <v>33</v>
      </c>
      <c r="G34" t="s">
        <v>420</v>
      </c>
      <c r="H34" t="str">
        <f t="shared" si="0"/>
        <v>–</v>
      </c>
      <c r="I34" t="str">
        <f t="shared" si="1"/>
        <v>–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5EC64-496E-43E5-BBDB-99E45C8ACED8}">
  <dimension ref="A1:AQ26"/>
  <sheetViews>
    <sheetView topLeftCell="Z1" workbookViewId="0">
      <selection activeCell="AQ9" sqref="AQ9"/>
    </sheetView>
  </sheetViews>
  <sheetFormatPr defaultRowHeight="14.45"/>
  <cols>
    <col min="2" max="2" width="15.28515625" bestFit="1" customWidth="1"/>
    <col min="3" max="3" width="9.7109375" bestFit="1" customWidth="1"/>
    <col min="5" max="5" width="14.140625" bestFit="1" customWidth="1"/>
    <col min="6" max="6" width="40.42578125" bestFit="1" customWidth="1"/>
    <col min="7" max="7" width="9.42578125" bestFit="1" customWidth="1"/>
    <col min="8" max="8" width="23.42578125" bestFit="1" customWidth="1"/>
    <col min="9" max="9" width="14.85546875" bestFit="1" customWidth="1"/>
    <col min="11" max="11" width="15.28515625" customWidth="1"/>
    <col min="12" max="12" width="11" customWidth="1"/>
    <col min="13" max="13" width="15.5703125" customWidth="1"/>
    <col min="14" max="14" width="14.85546875" customWidth="1"/>
    <col min="15" max="15" width="13" bestFit="1" customWidth="1"/>
    <col min="16" max="16" width="17.140625" customWidth="1"/>
    <col min="17" max="17" width="23.85546875" customWidth="1"/>
    <col min="19" max="19" width="27.28515625" customWidth="1"/>
    <col min="20" max="20" width="27.42578125" customWidth="1"/>
    <col min="21" max="21" width="21.140625" customWidth="1"/>
    <col min="22" max="22" width="27.28515625" customWidth="1"/>
    <col min="23" max="23" width="27.7109375" customWidth="1"/>
    <col min="24" max="24" width="25.7109375" customWidth="1"/>
    <col min="25" max="25" width="28.140625" customWidth="1"/>
    <col min="26" max="26" width="35" customWidth="1"/>
    <col min="28" max="28" width="19.5703125" customWidth="1"/>
    <col min="29" max="29" width="21.140625" customWidth="1"/>
    <col min="30" max="30" width="15.42578125" customWidth="1"/>
    <col min="31" max="31" width="17.42578125" customWidth="1"/>
    <col min="32" max="32" width="17.85546875" customWidth="1"/>
    <col min="33" max="33" width="23.85546875" customWidth="1"/>
    <col min="34" max="34" width="28" customWidth="1"/>
    <col min="36" max="36" width="36.5703125" customWidth="1"/>
    <col min="37" max="37" width="34.85546875" customWidth="1"/>
    <col min="38" max="38" width="23.85546875" customWidth="1"/>
    <col min="39" max="39" width="33.140625" customWidth="1"/>
    <col min="40" max="40" width="34.85546875" customWidth="1"/>
    <col min="41" max="41" width="30.42578125" customWidth="1"/>
    <col min="42" max="42" width="30.140625" customWidth="1"/>
    <col min="43" max="43" width="21.7109375" customWidth="1"/>
  </cols>
  <sheetData>
    <row r="1" spans="1:43">
      <c r="B1" s="1" t="s">
        <v>421</v>
      </c>
    </row>
    <row r="2" spans="1:43">
      <c r="A2" t="s">
        <v>422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10</v>
      </c>
      <c r="S2" t="s">
        <v>64</v>
      </c>
      <c r="T2" t="s">
        <v>65</v>
      </c>
      <c r="U2" t="s">
        <v>66</v>
      </c>
      <c r="V2" t="s">
        <v>67</v>
      </c>
      <c r="W2" t="s">
        <v>68</v>
      </c>
      <c r="X2" t="s">
        <v>28</v>
      </c>
      <c r="Y2" t="s">
        <v>69</v>
      </c>
      <c r="Z2" t="s">
        <v>30</v>
      </c>
      <c r="AB2" s="4" t="s">
        <v>105</v>
      </c>
      <c r="AC2" s="18" t="s">
        <v>106</v>
      </c>
      <c r="AD2" s="18"/>
    </row>
    <row r="3" spans="1:43">
      <c r="A3" t="s">
        <v>423</v>
      </c>
      <c r="B3" t="s">
        <v>44</v>
      </c>
      <c r="C3">
        <v>6</v>
      </c>
      <c r="D3" t="s">
        <v>32</v>
      </c>
      <c r="E3">
        <v>0</v>
      </c>
      <c r="F3">
        <v>0</v>
      </c>
      <c r="G3" t="str">
        <f>IF(OR(F3="x",ISBLANK(F3)),_xlfn.CONCAT(B3,C3,D3),"alexandrín")</f>
        <v>alexandrín</v>
      </c>
      <c r="H3" t="str">
        <f>IF(G3="alexandrín",IF(D3="Ž","ženský","mužský"),"–")</f>
        <v>ženský</v>
      </c>
      <c r="I3" t="str">
        <f>IF(G3="alexandrín",_xlfn.CONCAT(G3,H3),"–")</f>
        <v>alexandrínženský</v>
      </c>
      <c r="K3" t="s">
        <v>35</v>
      </c>
      <c r="L3" t="s">
        <v>36</v>
      </c>
      <c r="M3" t="s">
        <v>424</v>
      </c>
      <c r="N3" t="s">
        <v>425</v>
      </c>
      <c r="O3" t="s">
        <v>326</v>
      </c>
      <c r="P3">
        <v>2</v>
      </c>
      <c r="Q3" t="s">
        <v>40</v>
      </c>
      <c r="R3" t="s">
        <v>32</v>
      </c>
      <c r="S3">
        <v>4</v>
      </c>
      <c r="T3">
        <v>4</v>
      </c>
      <c r="U3" t="str">
        <f>_xlfn.CONCAT(S3,"/",T3)</f>
        <v>4/4</v>
      </c>
      <c r="V3" t="s">
        <v>50</v>
      </c>
      <c r="W3" t="s">
        <v>50</v>
      </c>
      <c r="X3" t="str">
        <f>_xlfn.CONCAT(V3,"+",W3)</f>
        <v>N+N</v>
      </c>
      <c r="Y3">
        <v>1</v>
      </c>
      <c r="AB3" t="s">
        <v>16</v>
      </c>
      <c r="AC3" t="s">
        <v>17</v>
      </c>
      <c r="AD3" t="s">
        <v>18</v>
      </c>
      <c r="AE3" t="s">
        <v>19</v>
      </c>
      <c r="AF3" t="s">
        <v>20</v>
      </c>
      <c r="AG3" t="s">
        <v>21</v>
      </c>
      <c r="AH3" t="s">
        <v>22</v>
      </c>
      <c r="AI3" t="s">
        <v>10</v>
      </c>
      <c r="AJ3" t="s">
        <v>64</v>
      </c>
      <c r="AK3" t="s">
        <v>65</v>
      </c>
      <c r="AL3" t="s">
        <v>66</v>
      </c>
      <c r="AM3" t="s">
        <v>67</v>
      </c>
      <c r="AN3" t="s">
        <v>68</v>
      </c>
      <c r="AO3" t="s">
        <v>28</v>
      </c>
      <c r="AP3" t="s">
        <v>69</v>
      </c>
      <c r="AQ3" t="s">
        <v>107</v>
      </c>
    </row>
    <row r="4" spans="1:43">
      <c r="B4" t="s">
        <v>31</v>
      </c>
      <c r="C4">
        <v>4</v>
      </c>
      <c r="D4" t="s">
        <v>102</v>
      </c>
      <c r="E4" t="s">
        <v>33</v>
      </c>
      <c r="F4" t="s">
        <v>33</v>
      </c>
      <c r="G4" t="s">
        <v>426</v>
      </c>
      <c r="H4" t="str">
        <f t="shared" ref="H4:H26" si="0">IF(G4="alexandrín",IF(D4="Ž","ženský","mužský"),"–")</f>
        <v>–</v>
      </c>
      <c r="I4" t="str">
        <f t="shared" ref="I4:I26" si="1">IF(G4="alexandrín",_xlfn.CONCAT(G4,H4),"–")</f>
        <v>–</v>
      </c>
      <c r="L4" t="s">
        <v>46</v>
      </c>
      <c r="M4" t="s">
        <v>427</v>
      </c>
      <c r="N4" t="s">
        <v>428</v>
      </c>
      <c r="O4" t="s">
        <v>429</v>
      </c>
      <c r="P4">
        <v>2</v>
      </c>
      <c r="Q4" t="s">
        <v>40</v>
      </c>
      <c r="R4" t="s">
        <v>99</v>
      </c>
      <c r="S4">
        <v>3</v>
      </c>
      <c r="T4">
        <v>3</v>
      </c>
      <c r="U4" t="str">
        <f t="shared" ref="U4:U14" si="2">_xlfn.CONCAT(S4,"/",T4)</f>
        <v>3/3</v>
      </c>
      <c r="V4" t="s">
        <v>75</v>
      </c>
      <c r="W4" t="s">
        <v>50</v>
      </c>
      <c r="X4" t="str">
        <f t="shared" ref="X4:X14" si="3">_xlfn.CONCAT(V4,"+",W4)</f>
        <v>V+N</v>
      </c>
      <c r="Y4">
        <v>2</v>
      </c>
      <c r="AB4" t="s">
        <v>35</v>
      </c>
      <c r="AC4" t="s">
        <v>36</v>
      </c>
      <c r="AD4" t="s">
        <v>430</v>
      </c>
      <c r="AE4" t="s">
        <v>431</v>
      </c>
      <c r="AF4" t="s">
        <v>432</v>
      </c>
      <c r="AG4">
        <v>1</v>
      </c>
      <c r="AH4" t="s">
        <v>58</v>
      </c>
      <c r="AI4" t="s">
        <v>32</v>
      </c>
      <c r="AJ4">
        <v>4</v>
      </c>
      <c r="AK4">
        <v>4</v>
      </c>
      <c r="AL4" t="str">
        <f t="shared" ref="AL4" si="4">_xlfn.CONCAT(AJ4,"/",AK4)</f>
        <v>4/4</v>
      </c>
      <c r="AM4" t="s">
        <v>50</v>
      </c>
      <c r="AN4" t="s">
        <v>41</v>
      </c>
      <c r="AO4" t="str">
        <f t="shared" ref="AO4" si="5">_xlfn.CONCAT(AM4,"+",AN4)</f>
        <v>N+Adj</v>
      </c>
      <c r="AP4">
        <v>2</v>
      </c>
      <c r="AQ4" t="s">
        <v>114</v>
      </c>
    </row>
    <row r="5" spans="1:43">
      <c r="B5" t="s">
        <v>31</v>
      </c>
      <c r="C5">
        <v>5</v>
      </c>
      <c r="D5" t="s">
        <v>32</v>
      </c>
      <c r="E5" t="s">
        <v>33</v>
      </c>
      <c r="F5" t="s">
        <v>33</v>
      </c>
      <c r="G5" t="s">
        <v>215</v>
      </c>
      <c r="H5" t="str">
        <f t="shared" si="0"/>
        <v>–</v>
      </c>
      <c r="I5" t="str">
        <f t="shared" si="1"/>
        <v>–</v>
      </c>
      <c r="K5" t="s">
        <v>35</v>
      </c>
      <c r="L5" t="s">
        <v>36</v>
      </c>
      <c r="M5" t="s">
        <v>433</v>
      </c>
      <c r="N5" t="s">
        <v>434</v>
      </c>
      <c r="O5" t="s">
        <v>435</v>
      </c>
      <c r="P5">
        <v>2</v>
      </c>
      <c r="Q5" t="s">
        <v>40</v>
      </c>
      <c r="R5" t="s">
        <v>32</v>
      </c>
      <c r="S5">
        <v>4</v>
      </c>
      <c r="T5">
        <v>2</v>
      </c>
      <c r="U5" t="str">
        <f t="shared" si="2"/>
        <v>4/2</v>
      </c>
      <c r="V5" t="s">
        <v>50</v>
      </c>
      <c r="W5" t="s">
        <v>50</v>
      </c>
      <c r="X5" t="str">
        <f t="shared" si="3"/>
        <v>N+N</v>
      </c>
      <c r="Y5">
        <v>0</v>
      </c>
      <c r="Z5" t="s">
        <v>122</v>
      </c>
    </row>
    <row r="6" spans="1:43">
      <c r="B6" t="s">
        <v>44</v>
      </c>
      <c r="C6">
        <v>5</v>
      </c>
      <c r="D6" t="s">
        <v>45</v>
      </c>
      <c r="E6">
        <v>0</v>
      </c>
      <c r="F6" t="s">
        <v>33</v>
      </c>
      <c r="G6" t="str">
        <f t="shared" ref="G6:G26" si="6">IF(OR(F6="x",ISBLANK(F6)),_xlfn.CONCAT(B6,C6,D6),"alexandrín")</f>
        <v>J5M</v>
      </c>
      <c r="H6" t="str">
        <f t="shared" si="0"/>
        <v>–</v>
      </c>
      <c r="I6" t="str">
        <f t="shared" si="1"/>
        <v>–</v>
      </c>
      <c r="L6" t="s">
        <v>46</v>
      </c>
      <c r="M6" t="s">
        <v>436</v>
      </c>
      <c r="N6" t="s">
        <v>437</v>
      </c>
      <c r="O6" t="s">
        <v>438</v>
      </c>
      <c r="P6">
        <v>1</v>
      </c>
      <c r="Q6" t="s">
        <v>58</v>
      </c>
      <c r="R6" t="s">
        <v>45</v>
      </c>
      <c r="S6">
        <v>1</v>
      </c>
      <c r="T6">
        <v>1</v>
      </c>
      <c r="U6" t="str">
        <f t="shared" si="2"/>
        <v>1/1</v>
      </c>
      <c r="V6" t="s">
        <v>50</v>
      </c>
      <c r="W6" t="s">
        <v>50</v>
      </c>
      <c r="X6" t="str">
        <f t="shared" si="3"/>
        <v>N+N</v>
      </c>
      <c r="Y6">
        <v>1</v>
      </c>
    </row>
    <row r="7" spans="1:43" ht="15">
      <c r="A7" t="s">
        <v>439</v>
      </c>
      <c r="B7" t="s">
        <v>136</v>
      </c>
      <c r="C7">
        <v>4</v>
      </c>
      <c r="D7" t="s">
        <v>32</v>
      </c>
      <c r="E7" t="s">
        <v>33</v>
      </c>
      <c r="F7" t="s">
        <v>33</v>
      </c>
      <c r="G7" t="s">
        <v>137</v>
      </c>
      <c r="H7" t="str">
        <f t="shared" si="0"/>
        <v>–</v>
      </c>
      <c r="I7" t="str">
        <f t="shared" si="1"/>
        <v>–</v>
      </c>
      <c r="K7" t="s">
        <v>35</v>
      </c>
      <c r="L7" t="s">
        <v>115</v>
      </c>
      <c r="AB7" s="4" t="s">
        <v>59</v>
      </c>
      <c r="AC7" s="4" t="s">
        <v>60</v>
      </c>
    </row>
    <row r="8" spans="1:43">
      <c r="B8" t="s">
        <v>44</v>
      </c>
      <c r="C8">
        <v>5</v>
      </c>
      <c r="D8" t="s">
        <v>45</v>
      </c>
      <c r="E8">
        <v>1</v>
      </c>
      <c r="F8" t="s">
        <v>33</v>
      </c>
      <c r="G8" t="str">
        <f t="shared" si="6"/>
        <v>J5M</v>
      </c>
      <c r="H8" t="str">
        <f t="shared" si="0"/>
        <v>–</v>
      </c>
      <c r="I8" t="str">
        <f t="shared" si="1"/>
        <v>–</v>
      </c>
      <c r="L8" t="s">
        <v>46</v>
      </c>
      <c r="M8" t="s">
        <v>440</v>
      </c>
      <c r="N8" t="s">
        <v>441</v>
      </c>
      <c r="O8" t="s">
        <v>442</v>
      </c>
      <c r="P8">
        <v>1</v>
      </c>
      <c r="Q8" t="s">
        <v>58</v>
      </c>
      <c r="R8" t="s">
        <v>45</v>
      </c>
      <c r="S8">
        <v>1</v>
      </c>
      <c r="T8">
        <v>1</v>
      </c>
      <c r="U8" t="str">
        <f t="shared" si="2"/>
        <v>1/1</v>
      </c>
      <c r="V8" t="s">
        <v>50</v>
      </c>
      <c r="W8" t="s">
        <v>50</v>
      </c>
      <c r="X8" t="str">
        <f t="shared" si="3"/>
        <v>N+N</v>
      </c>
      <c r="Y8">
        <v>1</v>
      </c>
      <c r="AB8" t="s">
        <v>16</v>
      </c>
      <c r="AC8" t="s">
        <v>17</v>
      </c>
      <c r="AD8" t="s">
        <v>18</v>
      </c>
      <c r="AE8" t="s">
        <v>19</v>
      </c>
      <c r="AF8" t="s">
        <v>20</v>
      </c>
      <c r="AG8" t="s">
        <v>21</v>
      </c>
      <c r="AH8" t="s">
        <v>22</v>
      </c>
      <c r="AI8" t="s">
        <v>10</v>
      </c>
      <c r="AJ8" t="s">
        <v>64</v>
      </c>
      <c r="AK8" t="s">
        <v>65</v>
      </c>
      <c r="AL8" t="s">
        <v>66</v>
      </c>
      <c r="AM8" t="s">
        <v>67</v>
      </c>
      <c r="AN8" t="s">
        <v>68</v>
      </c>
      <c r="AO8" t="s">
        <v>28</v>
      </c>
      <c r="AP8" t="s">
        <v>69</v>
      </c>
      <c r="AQ8" t="s">
        <v>70</v>
      </c>
    </row>
    <row r="9" spans="1:43">
      <c r="B9" t="s">
        <v>44</v>
      </c>
      <c r="C9">
        <v>5</v>
      </c>
      <c r="D9" t="s">
        <v>32</v>
      </c>
      <c r="E9">
        <v>1</v>
      </c>
      <c r="F9" t="s">
        <v>33</v>
      </c>
      <c r="G9" t="str">
        <f t="shared" si="6"/>
        <v>J5Ž</v>
      </c>
      <c r="H9" t="str">
        <f t="shared" si="0"/>
        <v>–</v>
      </c>
      <c r="I9" t="str">
        <f t="shared" si="1"/>
        <v>–</v>
      </c>
      <c r="K9" t="s">
        <v>35</v>
      </c>
      <c r="L9" t="s">
        <v>36</v>
      </c>
      <c r="M9" t="s">
        <v>443</v>
      </c>
      <c r="N9" t="s">
        <v>444</v>
      </c>
      <c r="O9" t="s">
        <v>445</v>
      </c>
      <c r="P9">
        <v>2</v>
      </c>
      <c r="Q9" t="s">
        <v>40</v>
      </c>
      <c r="R9" t="s">
        <v>32</v>
      </c>
      <c r="S9">
        <v>4</v>
      </c>
      <c r="T9">
        <v>2</v>
      </c>
      <c r="U9" t="str">
        <f t="shared" si="2"/>
        <v>4/2</v>
      </c>
      <c r="V9" t="s">
        <v>50</v>
      </c>
      <c r="W9" t="s">
        <v>50</v>
      </c>
      <c r="X9" t="str">
        <f t="shared" si="3"/>
        <v>N+N</v>
      </c>
      <c r="Y9">
        <v>1</v>
      </c>
      <c r="AB9" t="s">
        <v>35</v>
      </c>
      <c r="AC9" t="s">
        <v>36</v>
      </c>
      <c r="AD9" t="s">
        <v>433</v>
      </c>
      <c r="AE9" t="s">
        <v>434</v>
      </c>
      <c r="AF9" t="s">
        <v>435</v>
      </c>
      <c r="AG9">
        <v>2</v>
      </c>
      <c r="AH9" t="s">
        <v>40</v>
      </c>
      <c r="AI9" t="s">
        <v>32</v>
      </c>
      <c r="AJ9">
        <v>4</v>
      </c>
      <c r="AK9">
        <v>2</v>
      </c>
      <c r="AL9" t="str">
        <f>_xlfn.CONCAT(AJ9,"/",AK9)</f>
        <v>4/2</v>
      </c>
      <c r="AM9" t="s">
        <v>50</v>
      </c>
      <c r="AN9" t="s">
        <v>50</v>
      </c>
      <c r="AO9" t="str">
        <f>_xlfn.CONCAT(AM9,"+",AN9)</f>
        <v>N+N</v>
      </c>
      <c r="AP9">
        <v>0</v>
      </c>
      <c r="AQ9" t="s">
        <v>135</v>
      </c>
    </row>
    <row r="10" spans="1:43">
      <c r="B10" t="s">
        <v>44</v>
      </c>
      <c r="C10">
        <v>5</v>
      </c>
      <c r="D10" t="s">
        <v>45</v>
      </c>
      <c r="E10">
        <v>0</v>
      </c>
      <c r="F10" t="s">
        <v>33</v>
      </c>
      <c r="G10" t="str">
        <f t="shared" si="6"/>
        <v>J5M</v>
      </c>
      <c r="H10" t="str">
        <f t="shared" si="0"/>
        <v>–</v>
      </c>
      <c r="I10" t="str">
        <f t="shared" si="1"/>
        <v>–</v>
      </c>
      <c r="L10" t="s">
        <v>46</v>
      </c>
      <c r="M10" t="s">
        <v>446</v>
      </c>
      <c r="N10" t="s">
        <v>312</v>
      </c>
      <c r="O10" t="s">
        <v>447</v>
      </c>
      <c r="P10">
        <v>1</v>
      </c>
      <c r="Q10" t="s">
        <v>58</v>
      </c>
      <c r="R10" t="s">
        <v>45</v>
      </c>
      <c r="S10">
        <v>1</v>
      </c>
      <c r="T10">
        <v>1</v>
      </c>
      <c r="U10" t="str">
        <f t="shared" si="2"/>
        <v>1/1</v>
      </c>
      <c r="V10" t="s">
        <v>50</v>
      </c>
      <c r="W10" t="s">
        <v>50</v>
      </c>
      <c r="X10" t="str">
        <f t="shared" si="3"/>
        <v>N+N</v>
      </c>
      <c r="Y10">
        <v>1</v>
      </c>
    </row>
    <row r="11" spans="1:43">
      <c r="A11" t="s">
        <v>448</v>
      </c>
      <c r="B11" t="s">
        <v>44</v>
      </c>
      <c r="C11">
        <v>5</v>
      </c>
      <c r="D11" t="s">
        <v>32</v>
      </c>
      <c r="E11">
        <v>1</v>
      </c>
      <c r="F11" t="s">
        <v>33</v>
      </c>
      <c r="G11" t="str">
        <f t="shared" si="6"/>
        <v>J5Ž</v>
      </c>
      <c r="H11" t="str">
        <f t="shared" si="0"/>
        <v>–</v>
      </c>
      <c r="I11" t="str">
        <f t="shared" si="1"/>
        <v>–</v>
      </c>
      <c r="K11" t="s">
        <v>35</v>
      </c>
      <c r="L11" t="s">
        <v>36</v>
      </c>
      <c r="M11" t="s">
        <v>449</v>
      </c>
      <c r="N11" t="s">
        <v>450</v>
      </c>
      <c r="O11" t="s">
        <v>451</v>
      </c>
      <c r="P11">
        <v>2</v>
      </c>
      <c r="Q11" t="s">
        <v>40</v>
      </c>
      <c r="R11" t="s">
        <v>32</v>
      </c>
      <c r="S11">
        <v>4</v>
      </c>
      <c r="T11">
        <v>2</v>
      </c>
      <c r="U11" t="str">
        <f t="shared" si="2"/>
        <v>4/2</v>
      </c>
      <c r="V11" t="s">
        <v>75</v>
      </c>
      <c r="W11" t="s">
        <v>50</v>
      </c>
      <c r="X11" t="str">
        <f t="shared" si="3"/>
        <v>V+N</v>
      </c>
      <c r="Y11">
        <v>2</v>
      </c>
    </row>
    <row r="12" spans="1:43">
      <c r="B12" t="s">
        <v>44</v>
      </c>
      <c r="C12">
        <v>5</v>
      </c>
      <c r="D12" t="s">
        <v>45</v>
      </c>
      <c r="E12">
        <v>0</v>
      </c>
      <c r="F12" t="s">
        <v>33</v>
      </c>
      <c r="G12" t="str">
        <f t="shared" si="6"/>
        <v>J5M</v>
      </c>
      <c r="H12" t="str">
        <f t="shared" si="0"/>
        <v>–</v>
      </c>
      <c r="I12" t="str">
        <f t="shared" si="1"/>
        <v>–</v>
      </c>
      <c r="L12" t="s">
        <v>46</v>
      </c>
      <c r="M12" t="s">
        <v>452</v>
      </c>
      <c r="N12" t="s">
        <v>453</v>
      </c>
      <c r="O12" t="s">
        <v>454</v>
      </c>
      <c r="P12">
        <v>1</v>
      </c>
      <c r="Q12" t="s">
        <v>58</v>
      </c>
      <c r="R12" t="s">
        <v>455</v>
      </c>
      <c r="S12">
        <v>1</v>
      </c>
      <c r="T12">
        <v>1</v>
      </c>
      <c r="U12" t="str">
        <f t="shared" si="2"/>
        <v>1/1</v>
      </c>
      <c r="V12" t="s">
        <v>50</v>
      </c>
      <c r="W12" t="s">
        <v>50</v>
      </c>
      <c r="X12" t="str">
        <f t="shared" si="3"/>
        <v>N+N</v>
      </c>
      <c r="Y12">
        <v>0</v>
      </c>
    </row>
    <row r="13" spans="1:43">
      <c r="B13" t="s">
        <v>44</v>
      </c>
      <c r="C13">
        <v>6</v>
      </c>
      <c r="D13" t="s">
        <v>32</v>
      </c>
      <c r="E13">
        <v>1</v>
      </c>
      <c r="F13">
        <v>1</v>
      </c>
      <c r="G13" t="str">
        <f t="shared" si="6"/>
        <v>alexandrín</v>
      </c>
      <c r="H13" t="str">
        <f t="shared" si="0"/>
        <v>ženský</v>
      </c>
      <c r="I13" t="str">
        <f t="shared" si="1"/>
        <v>alexandrínženský</v>
      </c>
      <c r="K13" t="s">
        <v>35</v>
      </c>
      <c r="L13" t="s">
        <v>36</v>
      </c>
      <c r="M13" t="s">
        <v>456</v>
      </c>
      <c r="N13" t="s">
        <v>457</v>
      </c>
      <c r="O13" t="s">
        <v>458</v>
      </c>
      <c r="P13">
        <v>2</v>
      </c>
      <c r="Q13" t="s">
        <v>40</v>
      </c>
      <c r="R13" t="s">
        <v>32</v>
      </c>
      <c r="S13">
        <v>2</v>
      </c>
      <c r="T13">
        <v>2</v>
      </c>
      <c r="U13" t="str">
        <f t="shared" si="2"/>
        <v>2/2</v>
      </c>
      <c r="V13" t="s">
        <v>75</v>
      </c>
      <c r="W13" t="s">
        <v>50</v>
      </c>
      <c r="X13" t="str">
        <f t="shared" si="3"/>
        <v>V+N</v>
      </c>
      <c r="Y13">
        <v>2</v>
      </c>
    </row>
    <row r="14" spans="1:43">
      <c r="B14" t="s">
        <v>44</v>
      </c>
      <c r="C14">
        <v>5</v>
      </c>
      <c r="D14" t="s">
        <v>45</v>
      </c>
      <c r="E14">
        <v>0</v>
      </c>
      <c r="F14" t="s">
        <v>33</v>
      </c>
      <c r="G14" t="str">
        <f t="shared" si="6"/>
        <v>J5M</v>
      </c>
      <c r="H14" t="str">
        <f t="shared" si="0"/>
        <v>–</v>
      </c>
      <c r="I14" t="str">
        <f t="shared" si="1"/>
        <v>–</v>
      </c>
      <c r="L14" t="s">
        <v>46</v>
      </c>
      <c r="M14" t="s">
        <v>459</v>
      </c>
      <c r="N14" t="s">
        <v>460</v>
      </c>
      <c r="O14" t="s">
        <v>461</v>
      </c>
      <c r="P14">
        <v>1</v>
      </c>
      <c r="Q14" t="s">
        <v>58</v>
      </c>
      <c r="R14" t="s">
        <v>455</v>
      </c>
      <c r="S14">
        <v>1</v>
      </c>
      <c r="T14">
        <v>1</v>
      </c>
      <c r="U14" t="str">
        <f t="shared" si="2"/>
        <v>1/1</v>
      </c>
      <c r="V14" t="s">
        <v>50</v>
      </c>
      <c r="W14" t="s">
        <v>50</v>
      </c>
      <c r="X14" t="str">
        <f t="shared" si="3"/>
        <v>N+N</v>
      </c>
      <c r="Y14">
        <v>1</v>
      </c>
    </row>
    <row r="15" spans="1:43">
      <c r="A15" t="s">
        <v>462</v>
      </c>
      <c r="B15" t="s">
        <v>31</v>
      </c>
      <c r="C15">
        <v>5</v>
      </c>
      <c r="D15" t="s">
        <v>32</v>
      </c>
      <c r="E15" t="s">
        <v>33</v>
      </c>
      <c r="F15" t="s">
        <v>33</v>
      </c>
      <c r="G15" t="s">
        <v>34</v>
      </c>
      <c r="H15" t="str">
        <f t="shared" si="0"/>
        <v>–</v>
      </c>
      <c r="I15" t="str">
        <f t="shared" si="1"/>
        <v>–</v>
      </c>
    </row>
    <row r="16" spans="1:43">
      <c r="B16" t="s">
        <v>44</v>
      </c>
      <c r="C16">
        <v>5</v>
      </c>
      <c r="D16" t="s">
        <v>45</v>
      </c>
      <c r="E16">
        <v>1</v>
      </c>
      <c r="F16" t="s">
        <v>33</v>
      </c>
      <c r="G16" t="str">
        <f t="shared" si="6"/>
        <v>J5M</v>
      </c>
      <c r="H16" t="str">
        <f t="shared" si="0"/>
        <v>–</v>
      </c>
      <c r="I16" t="str">
        <f t="shared" si="1"/>
        <v>–</v>
      </c>
    </row>
    <row r="17" spans="1:13">
      <c r="B17" t="s">
        <v>44</v>
      </c>
      <c r="C17">
        <v>6</v>
      </c>
      <c r="D17" t="s">
        <v>32</v>
      </c>
      <c r="E17">
        <v>0</v>
      </c>
      <c r="G17" t="str">
        <f t="shared" si="6"/>
        <v>J6Ž</v>
      </c>
      <c r="H17" t="str">
        <f t="shared" si="0"/>
        <v>–</v>
      </c>
      <c r="I17" t="str">
        <f t="shared" si="1"/>
        <v>–</v>
      </c>
    </row>
    <row r="18" spans="1:13">
      <c r="B18" t="s">
        <v>44</v>
      </c>
      <c r="C18">
        <v>5</v>
      </c>
      <c r="D18" t="s">
        <v>45</v>
      </c>
      <c r="E18">
        <v>0</v>
      </c>
      <c r="F18" t="s">
        <v>33</v>
      </c>
      <c r="G18" t="str">
        <f t="shared" si="6"/>
        <v>J5M</v>
      </c>
      <c r="H18" t="str">
        <f t="shared" si="0"/>
        <v>–</v>
      </c>
      <c r="I18" t="str">
        <f t="shared" si="1"/>
        <v>–</v>
      </c>
    </row>
    <row r="19" spans="1:13">
      <c r="A19" t="s">
        <v>463</v>
      </c>
      <c r="B19" t="s">
        <v>44</v>
      </c>
      <c r="C19">
        <v>6</v>
      </c>
      <c r="D19" t="s">
        <v>32</v>
      </c>
      <c r="E19">
        <v>1</v>
      </c>
      <c r="F19">
        <v>0</v>
      </c>
      <c r="G19" t="str">
        <f t="shared" si="6"/>
        <v>alexandrín</v>
      </c>
      <c r="H19" t="str">
        <f t="shared" si="0"/>
        <v>ženský</v>
      </c>
      <c r="I19" t="str">
        <f t="shared" si="1"/>
        <v>alexandrínženský</v>
      </c>
      <c r="K19" s="4"/>
      <c r="L19" s="19"/>
      <c r="M19" s="19"/>
    </row>
    <row r="20" spans="1:13">
      <c r="B20" t="s">
        <v>44</v>
      </c>
      <c r="C20">
        <v>5</v>
      </c>
      <c r="D20" t="s">
        <v>45</v>
      </c>
      <c r="E20">
        <v>1</v>
      </c>
      <c r="F20" t="s">
        <v>33</v>
      </c>
      <c r="G20" t="str">
        <f t="shared" si="6"/>
        <v>J5M</v>
      </c>
      <c r="H20" t="str">
        <f t="shared" si="0"/>
        <v>–</v>
      </c>
      <c r="I20" t="str">
        <f t="shared" si="1"/>
        <v>–</v>
      </c>
    </row>
    <row r="21" spans="1:13">
      <c r="B21" t="s">
        <v>44</v>
      </c>
      <c r="C21">
        <v>6</v>
      </c>
      <c r="D21" t="s">
        <v>32</v>
      </c>
      <c r="E21">
        <v>1</v>
      </c>
      <c r="F21">
        <v>0</v>
      </c>
      <c r="G21" t="str">
        <f t="shared" si="6"/>
        <v>alexandrín</v>
      </c>
      <c r="H21" t="str">
        <f t="shared" si="0"/>
        <v>ženský</v>
      </c>
      <c r="I21" t="str">
        <f t="shared" si="1"/>
        <v>alexandrínženský</v>
      </c>
    </row>
    <row r="22" spans="1:13">
      <c r="B22" t="s">
        <v>44</v>
      </c>
      <c r="C22">
        <v>5</v>
      </c>
      <c r="D22" t="s">
        <v>32</v>
      </c>
      <c r="E22">
        <v>0</v>
      </c>
      <c r="F22" t="s">
        <v>33</v>
      </c>
      <c r="G22" t="str">
        <f t="shared" si="6"/>
        <v>J5Ž</v>
      </c>
      <c r="H22" t="str">
        <f t="shared" si="0"/>
        <v>–</v>
      </c>
      <c r="I22" t="str">
        <f t="shared" si="1"/>
        <v>–</v>
      </c>
    </row>
    <row r="23" spans="1:13">
      <c r="B23" t="s">
        <v>193</v>
      </c>
      <c r="C23">
        <v>4</v>
      </c>
      <c r="D23" t="s">
        <v>32</v>
      </c>
      <c r="E23" t="s">
        <v>33</v>
      </c>
      <c r="F23" t="s">
        <v>33</v>
      </c>
      <c r="G23" t="str">
        <f t="shared" si="6"/>
        <v>D4Ž</v>
      </c>
      <c r="H23" t="str">
        <f t="shared" si="0"/>
        <v>–</v>
      </c>
      <c r="I23" t="str">
        <f t="shared" si="1"/>
        <v>–</v>
      </c>
    </row>
    <row r="24" spans="1:13">
      <c r="B24" t="s">
        <v>44</v>
      </c>
      <c r="C24">
        <v>5</v>
      </c>
      <c r="D24" t="s">
        <v>45</v>
      </c>
      <c r="E24">
        <v>0</v>
      </c>
      <c r="F24" t="s">
        <v>33</v>
      </c>
      <c r="G24" t="str">
        <f t="shared" si="6"/>
        <v>J5M</v>
      </c>
      <c r="H24" t="str">
        <f t="shared" si="0"/>
        <v>–</v>
      </c>
      <c r="I24" t="str">
        <f t="shared" si="1"/>
        <v>–</v>
      </c>
    </row>
    <row r="25" spans="1:13">
      <c r="B25" t="s">
        <v>44</v>
      </c>
      <c r="C25">
        <v>5</v>
      </c>
      <c r="D25" t="s">
        <v>32</v>
      </c>
      <c r="E25">
        <v>1</v>
      </c>
      <c r="F25" t="s">
        <v>33</v>
      </c>
      <c r="G25" t="str">
        <f t="shared" si="6"/>
        <v>J5Ž</v>
      </c>
      <c r="H25" t="str">
        <f t="shared" si="0"/>
        <v>–</v>
      </c>
      <c r="I25" t="str">
        <f t="shared" si="1"/>
        <v>–</v>
      </c>
    </row>
    <row r="26" spans="1:13">
      <c r="B26" t="s">
        <v>44</v>
      </c>
      <c r="C26">
        <v>5</v>
      </c>
      <c r="D26" t="s">
        <v>32</v>
      </c>
      <c r="E26">
        <v>0</v>
      </c>
      <c r="F26" t="s">
        <v>33</v>
      </c>
      <c r="G26" t="str">
        <f t="shared" si="6"/>
        <v>J5Ž</v>
      </c>
      <c r="H26" t="str">
        <f t="shared" si="0"/>
        <v>–</v>
      </c>
      <c r="I26" t="str">
        <f t="shared" si="1"/>
        <v>–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ABE56-3D21-4620-BD3C-FE32B49ED6C4}">
  <dimension ref="B1:AQ40"/>
  <sheetViews>
    <sheetView workbookViewId="0">
      <selection activeCell="AD19" sqref="AD19"/>
    </sheetView>
  </sheetViews>
  <sheetFormatPr defaultRowHeight="14.45"/>
  <cols>
    <col min="2" max="2" width="15.28515625" bestFit="1" customWidth="1"/>
    <col min="3" max="3" width="9.7109375" bestFit="1" customWidth="1"/>
    <col min="5" max="5" width="14.140625" bestFit="1" customWidth="1"/>
    <col min="6" max="6" width="40.42578125" bestFit="1" customWidth="1"/>
    <col min="7" max="7" width="11.140625" customWidth="1"/>
    <col min="8" max="8" width="23.42578125" bestFit="1" customWidth="1"/>
    <col min="9" max="9" width="9.5703125" bestFit="1" customWidth="1"/>
    <col min="11" max="11" width="15.7109375" customWidth="1"/>
    <col min="12" max="12" width="9.85546875" customWidth="1"/>
    <col min="13" max="13" width="14.28515625" customWidth="1"/>
    <col min="14" max="14" width="14.7109375" customWidth="1"/>
    <col min="15" max="15" width="11.140625" customWidth="1"/>
    <col min="16" max="16" width="17.42578125" customWidth="1"/>
    <col min="17" max="17" width="23.28515625" customWidth="1"/>
    <col min="19" max="19" width="27.42578125" customWidth="1"/>
    <col min="20" max="20" width="27.28515625" customWidth="1"/>
    <col min="21" max="21" width="21.140625" customWidth="1"/>
    <col min="22" max="22" width="27.28515625" customWidth="1"/>
    <col min="23" max="23" width="26.7109375" customWidth="1"/>
    <col min="24" max="24" width="25.7109375" customWidth="1"/>
    <col min="25" max="25" width="27.28515625" customWidth="1"/>
    <col min="26" max="26" width="49.85546875" customWidth="1"/>
    <col min="28" max="28" width="20.42578125" customWidth="1"/>
    <col min="29" max="29" width="21.42578125" customWidth="1"/>
    <col min="30" max="30" width="18" customWidth="1"/>
    <col min="31" max="31" width="16.140625" customWidth="1"/>
    <col min="32" max="32" width="16.5703125" customWidth="1"/>
    <col min="33" max="33" width="22.140625" customWidth="1"/>
    <col min="34" max="34" width="27" customWidth="1"/>
    <col min="36" max="36" width="30.5703125" customWidth="1"/>
    <col min="37" max="37" width="31.28515625" customWidth="1"/>
    <col min="38" max="38" width="23" customWidth="1"/>
    <col min="39" max="39" width="31.5703125" customWidth="1"/>
    <col min="40" max="40" width="29.85546875" customWidth="1"/>
    <col min="41" max="41" width="32.85546875" customWidth="1"/>
    <col min="42" max="42" width="29.42578125" customWidth="1"/>
    <col min="43" max="43" width="15.42578125" customWidth="1"/>
  </cols>
  <sheetData>
    <row r="1" spans="2:43">
      <c r="B1" s="1" t="s">
        <v>464</v>
      </c>
    </row>
    <row r="2" spans="2:43" ht="15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10</v>
      </c>
      <c r="S2" t="s">
        <v>64</v>
      </c>
      <c r="T2" t="s">
        <v>65</v>
      </c>
      <c r="U2" t="s">
        <v>66</v>
      </c>
      <c r="V2" t="s">
        <v>67</v>
      </c>
      <c r="W2" t="s">
        <v>68</v>
      </c>
      <c r="X2" t="s">
        <v>28</v>
      </c>
      <c r="Y2" t="s">
        <v>69</v>
      </c>
      <c r="Z2" t="s">
        <v>30</v>
      </c>
      <c r="AB2" s="4" t="s">
        <v>59</v>
      </c>
      <c r="AC2" s="4" t="s">
        <v>60</v>
      </c>
    </row>
    <row r="3" spans="2:43">
      <c r="B3" t="s">
        <v>31</v>
      </c>
      <c r="C3">
        <v>4</v>
      </c>
      <c r="D3" t="s">
        <v>32</v>
      </c>
      <c r="E3" t="s">
        <v>33</v>
      </c>
      <c r="F3" t="s">
        <v>33</v>
      </c>
      <c r="G3" t="s">
        <v>465</v>
      </c>
      <c r="H3" t="str">
        <f>IF(G3="alexandrín",IF(D3="Ž","ženský","mužský"),"–")</f>
        <v>–</v>
      </c>
      <c r="I3" t="str">
        <f>IF(G3="alexandrín",_xlfn.CONCAT(G3,H3),"–")</f>
        <v>–</v>
      </c>
      <c r="K3" t="s">
        <v>466</v>
      </c>
      <c r="L3" t="s">
        <v>36</v>
      </c>
      <c r="M3" t="s">
        <v>467</v>
      </c>
      <c r="N3" t="s">
        <v>468</v>
      </c>
      <c r="O3" t="s">
        <v>469</v>
      </c>
      <c r="P3">
        <v>2</v>
      </c>
      <c r="Q3" t="s">
        <v>40</v>
      </c>
      <c r="R3" t="s">
        <v>32</v>
      </c>
      <c r="S3">
        <v>4</v>
      </c>
      <c r="T3">
        <v>2</v>
      </c>
      <c r="U3" t="str">
        <f>_xlfn.CONCAT(S3,"/",T3)</f>
        <v>4/2</v>
      </c>
      <c r="V3" t="s">
        <v>75</v>
      </c>
      <c r="W3" t="s">
        <v>75</v>
      </c>
      <c r="X3" t="str">
        <f>_xlfn.CONCAT(V3,"+",W3)</f>
        <v>V+V</v>
      </c>
      <c r="Y3">
        <v>0</v>
      </c>
      <c r="AB3" t="s">
        <v>16</v>
      </c>
      <c r="AC3" t="s">
        <v>17</v>
      </c>
      <c r="AD3" t="s">
        <v>18</v>
      </c>
      <c r="AE3" t="s">
        <v>19</v>
      </c>
      <c r="AF3" t="s">
        <v>20</v>
      </c>
      <c r="AG3" t="s">
        <v>21</v>
      </c>
      <c r="AH3" t="s">
        <v>22</v>
      </c>
      <c r="AI3" t="s">
        <v>10</v>
      </c>
      <c r="AJ3" t="s">
        <v>64</v>
      </c>
      <c r="AK3" t="s">
        <v>65</v>
      </c>
      <c r="AL3" t="s">
        <v>66</v>
      </c>
      <c r="AM3" t="s">
        <v>67</v>
      </c>
      <c r="AN3" t="s">
        <v>68</v>
      </c>
      <c r="AO3" t="s">
        <v>28</v>
      </c>
      <c r="AP3" t="s">
        <v>69</v>
      </c>
      <c r="AQ3" t="s">
        <v>70</v>
      </c>
    </row>
    <row r="4" spans="2:43">
      <c r="B4" t="s">
        <v>44</v>
      </c>
      <c r="C4">
        <v>4</v>
      </c>
      <c r="D4" t="s">
        <v>32</v>
      </c>
      <c r="E4">
        <v>0</v>
      </c>
      <c r="F4" t="s">
        <v>33</v>
      </c>
      <c r="G4" t="str">
        <f t="shared" ref="G4:G40" si="0">IF(OR(F4="x",ISBLANK(F4)),_xlfn.CONCAT(B4,C4,D4),"alexandrín")</f>
        <v>J4Ž</v>
      </c>
      <c r="H4" t="str">
        <f t="shared" ref="H4:H40" si="1">IF(G4="alexandrín",IF(D4="Ž","ženský","mužský"),"–")</f>
        <v>–</v>
      </c>
      <c r="I4" t="str">
        <f t="shared" ref="I4:I40" si="2">IF(G4="alexandrín",_xlfn.CONCAT(G4,H4),"–")</f>
        <v>–</v>
      </c>
      <c r="L4" t="s">
        <v>46</v>
      </c>
      <c r="M4" t="s">
        <v>470</v>
      </c>
      <c r="N4" t="s">
        <v>471</v>
      </c>
      <c r="O4" t="s">
        <v>472</v>
      </c>
      <c r="P4">
        <v>2</v>
      </c>
      <c r="Q4" t="s">
        <v>40</v>
      </c>
      <c r="R4" t="s">
        <v>45</v>
      </c>
      <c r="S4">
        <v>3</v>
      </c>
      <c r="T4">
        <v>3</v>
      </c>
      <c r="U4" t="str">
        <f t="shared" ref="U4:U21" si="3">_xlfn.CONCAT(S4,"/",T4)</f>
        <v>3/3</v>
      </c>
      <c r="V4" t="s">
        <v>41</v>
      </c>
      <c r="W4" t="s">
        <v>41</v>
      </c>
      <c r="X4" t="str">
        <f t="shared" ref="X4:X21" si="4">_xlfn.CONCAT(V4,"+",W4)</f>
        <v>Adj+Adj</v>
      </c>
      <c r="Y4">
        <v>1</v>
      </c>
      <c r="AB4" t="s">
        <v>473</v>
      </c>
      <c r="AC4" t="s">
        <v>36</v>
      </c>
      <c r="AD4" t="s">
        <v>474</v>
      </c>
      <c r="AE4" t="s">
        <v>475</v>
      </c>
      <c r="AF4" t="s">
        <v>476</v>
      </c>
      <c r="AG4">
        <v>2</v>
      </c>
      <c r="AH4" t="s">
        <v>40</v>
      </c>
      <c r="AI4" t="s">
        <v>32</v>
      </c>
      <c r="AJ4">
        <v>2</v>
      </c>
      <c r="AK4">
        <v>2</v>
      </c>
      <c r="AL4" t="str">
        <f>_xlfn.CONCAT(AJ4,"/",AK4)</f>
        <v>2/2</v>
      </c>
      <c r="AM4" t="s">
        <v>50</v>
      </c>
      <c r="AN4" t="s">
        <v>75</v>
      </c>
      <c r="AO4" t="str">
        <f>_xlfn.CONCAT(AM4,"+",AN4)</f>
        <v>N+V</v>
      </c>
      <c r="AP4">
        <v>2</v>
      </c>
      <c r="AQ4" t="s">
        <v>77</v>
      </c>
    </row>
    <row r="5" spans="2:43">
      <c r="B5" t="s">
        <v>44</v>
      </c>
      <c r="C5">
        <v>4</v>
      </c>
      <c r="D5" t="s">
        <v>45</v>
      </c>
      <c r="E5">
        <v>1</v>
      </c>
      <c r="F5" t="s">
        <v>33</v>
      </c>
      <c r="G5" t="str">
        <f t="shared" si="0"/>
        <v>J4M</v>
      </c>
      <c r="H5" t="str">
        <f t="shared" si="1"/>
        <v>–</v>
      </c>
      <c r="I5" t="str">
        <f t="shared" si="2"/>
        <v>–</v>
      </c>
      <c r="L5" t="s">
        <v>151</v>
      </c>
      <c r="M5" t="s">
        <v>477</v>
      </c>
      <c r="N5" t="s">
        <v>478</v>
      </c>
      <c r="O5" t="s">
        <v>479</v>
      </c>
      <c r="P5">
        <v>2</v>
      </c>
      <c r="Q5" t="s">
        <v>40</v>
      </c>
      <c r="R5" t="s">
        <v>32</v>
      </c>
      <c r="S5">
        <v>2</v>
      </c>
      <c r="T5">
        <v>2</v>
      </c>
      <c r="U5" t="str">
        <f t="shared" si="3"/>
        <v>2/2</v>
      </c>
      <c r="V5" t="s">
        <v>89</v>
      </c>
      <c r="W5" t="s">
        <v>50</v>
      </c>
      <c r="X5" t="str">
        <f t="shared" si="4"/>
        <v>Adv+N</v>
      </c>
      <c r="Y5">
        <v>2</v>
      </c>
      <c r="AB5" t="s">
        <v>473</v>
      </c>
      <c r="AC5" t="s">
        <v>151</v>
      </c>
      <c r="AD5" t="s">
        <v>480</v>
      </c>
      <c r="AE5" t="s">
        <v>481</v>
      </c>
      <c r="AF5" t="s">
        <v>482</v>
      </c>
      <c r="AG5">
        <v>2</v>
      </c>
      <c r="AH5" t="s">
        <v>40</v>
      </c>
      <c r="AI5" t="s">
        <v>32</v>
      </c>
      <c r="AJ5">
        <v>2</v>
      </c>
      <c r="AK5">
        <v>2</v>
      </c>
      <c r="AL5" t="str">
        <f>_xlfn.CONCAT(AJ5,"/",AK5)</f>
        <v>2/2</v>
      </c>
      <c r="AM5" t="s">
        <v>50</v>
      </c>
      <c r="AN5" t="s">
        <v>75</v>
      </c>
      <c r="AO5" t="str">
        <f>_xlfn.CONCAT(AM5,"+",AN5)</f>
        <v>N+V</v>
      </c>
      <c r="AP5">
        <v>2</v>
      </c>
      <c r="AQ5" t="s">
        <v>77</v>
      </c>
    </row>
    <row r="6" spans="2:43">
      <c r="B6" t="s">
        <v>44</v>
      </c>
      <c r="C6">
        <v>4</v>
      </c>
      <c r="D6" t="s">
        <v>45</v>
      </c>
      <c r="E6">
        <v>1</v>
      </c>
      <c r="F6" t="s">
        <v>33</v>
      </c>
      <c r="G6" t="str">
        <f t="shared" si="0"/>
        <v>J4M</v>
      </c>
      <c r="H6" t="str">
        <f t="shared" si="1"/>
        <v>–</v>
      </c>
      <c r="I6" t="str">
        <f t="shared" si="2"/>
        <v>–</v>
      </c>
      <c r="K6" t="s">
        <v>466</v>
      </c>
      <c r="L6" t="s">
        <v>36</v>
      </c>
      <c r="M6" t="s">
        <v>483</v>
      </c>
      <c r="N6" t="s">
        <v>484</v>
      </c>
      <c r="O6" t="s">
        <v>485</v>
      </c>
      <c r="P6">
        <v>2</v>
      </c>
      <c r="Q6" t="s">
        <v>40</v>
      </c>
      <c r="R6" t="s">
        <v>32</v>
      </c>
      <c r="S6">
        <v>4</v>
      </c>
      <c r="T6">
        <v>2</v>
      </c>
      <c r="U6" t="str">
        <f t="shared" si="3"/>
        <v>4/2</v>
      </c>
      <c r="V6" t="s">
        <v>75</v>
      </c>
      <c r="W6" t="s">
        <v>41</v>
      </c>
      <c r="X6" t="str">
        <f t="shared" si="4"/>
        <v>V+Adj</v>
      </c>
      <c r="Y6">
        <v>2</v>
      </c>
    </row>
    <row r="7" spans="2:43">
      <c r="B7" t="s">
        <v>31</v>
      </c>
      <c r="C7">
        <v>4</v>
      </c>
      <c r="D7" t="s">
        <v>32</v>
      </c>
      <c r="E7" t="s">
        <v>33</v>
      </c>
      <c r="F7" t="s">
        <v>33</v>
      </c>
      <c r="G7" t="s">
        <v>465</v>
      </c>
      <c r="H7" t="str">
        <f t="shared" si="1"/>
        <v>–</v>
      </c>
      <c r="I7" t="str">
        <f t="shared" si="2"/>
        <v>–</v>
      </c>
      <c r="L7" t="s">
        <v>46</v>
      </c>
      <c r="M7" t="s">
        <v>486</v>
      </c>
      <c r="N7" t="s">
        <v>487</v>
      </c>
      <c r="O7" t="s">
        <v>352</v>
      </c>
      <c r="P7">
        <v>1</v>
      </c>
      <c r="Q7" t="s">
        <v>58</v>
      </c>
      <c r="R7" t="s">
        <v>45</v>
      </c>
      <c r="S7">
        <v>1</v>
      </c>
      <c r="T7">
        <v>3</v>
      </c>
      <c r="U7" t="str">
        <f t="shared" si="3"/>
        <v>1/3</v>
      </c>
      <c r="V7" t="s">
        <v>50</v>
      </c>
      <c r="W7" t="s">
        <v>75</v>
      </c>
      <c r="X7" t="str">
        <f t="shared" si="4"/>
        <v>N+V</v>
      </c>
      <c r="Y7">
        <v>2</v>
      </c>
      <c r="Z7" t="s">
        <v>488</v>
      </c>
    </row>
    <row r="8" spans="2:43" ht="15">
      <c r="B8" t="s">
        <v>44</v>
      </c>
      <c r="C8">
        <v>4</v>
      </c>
      <c r="D8" t="s">
        <v>32</v>
      </c>
      <c r="E8">
        <v>1</v>
      </c>
      <c r="F8" t="s">
        <v>33</v>
      </c>
      <c r="G8" t="str">
        <f t="shared" si="0"/>
        <v>J4Ž</v>
      </c>
      <c r="H8" t="str">
        <f t="shared" si="1"/>
        <v>–</v>
      </c>
      <c r="I8" t="str">
        <f t="shared" si="2"/>
        <v>–</v>
      </c>
      <c r="L8" t="s">
        <v>151</v>
      </c>
      <c r="M8" t="s">
        <v>489</v>
      </c>
      <c r="N8" t="s">
        <v>490</v>
      </c>
      <c r="O8" t="s">
        <v>491</v>
      </c>
      <c r="P8">
        <v>2</v>
      </c>
      <c r="Q8" t="s">
        <v>40</v>
      </c>
      <c r="R8" t="s">
        <v>32</v>
      </c>
      <c r="S8">
        <v>2</v>
      </c>
      <c r="T8">
        <v>2</v>
      </c>
      <c r="U8" t="str">
        <f t="shared" si="3"/>
        <v>2/2</v>
      </c>
      <c r="V8" t="s">
        <v>50</v>
      </c>
      <c r="W8" t="s">
        <v>41</v>
      </c>
      <c r="X8" t="str">
        <f t="shared" si="4"/>
        <v>N+Adj</v>
      </c>
      <c r="Y8">
        <v>2</v>
      </c>
      <c r="AB8" s="4" t="s">
        <v>84</v>
      </c>
      <c r="AC8" s="4" t="s">
        <v>85</v>
      </c>
    </row>
    <row r="9" spans="2:43">
      <c r="B9" t="s">
        <v>31</v>
      </c>
      <c r="C9">
        <v>4</v>
      </c>
      <c r="D9" t="s">
        <v>32</v>
      </c>
      <c r="E9" t="s">
        <v>33</v>
      </c>
      <c r="F9" t="s">
        <v>33</v>
      </c>
      <c r="G9" t="s">
        <v>465</v>
      </c>
      <c r="H9" t="str">
        <f t="shared" si="1"/>
        <v>–</v>
      </c>
      <c r="I9" t="str">
        <f t="shared" si="2"/>
        <v>–</v>
      </c>
      <c r="K9" t="s">
        <v>466</v>
      </c>
      <c r="L9" t="s">
        <v>36</v>
      </c>
      <c r="M9" t="s">
        <v>492</v>
      </c>
      <c r="N9" t="s">
        <v>493</v>
      </c>
      <c r="O9" t="s">
        <v>494</v>
      </c>
      <c r="P9">
        <v>2</v>
      </c>
      <c r="Q9" t="s">
        <v>40</v>
      </c>
      <c r="R9" t="s">
        <v>32</v>
      </c>
      <c r="S9">
        <v>2</v>
      </c>
      <c r="T9">
        <v>4</v>
      </c>
      <c r="U9" t="str">
        <f t="shared" si="3"/>
        <v>2/4</v>
      </c>
      <c r="V9" t="s">
        <v>50</v>
      </c>
      <c r="W9" t="s">
        <v>50</v>
      </c>
      <c r="X9" t="str">
        <f t="shared" si="4"/>
        <v>N+N</v>
      </c>
      <c r="Y9">
        <v>1</v>
      </c>
      <c r="Z9" t="s">
        <v>495</v>
      </c>
      <c r="AB9" t="s">
        <v>16</v>
      </c>
      <c r="AC9" t="s">
        <v>17</v>
      </c>
      <c r="AD9" t="s">
        <v>18</v>
      </c>
      <c r="AE9" t="s">
        <v>19</v>
      </c>
      <c r="AF9" t="s">
        <v>20</v>
      </c>
      <c r="AG9" t="s">
        <v>21</v>
      </c>
      <c r="AH9" t="s">
        <v>22</v>
      </c>
      <c r="AI9" t="s">
        <v>10</v>
      </c>
      <c r="AJ9" t="s">
        <v>64</v>
      </c>
      <c r="AK9" t="s">
        <v>65</v>
      </c>
      <c r="AL9" t="s">
        <v>66</v>
      </c>
      <c r="AM9" t="s">
        <v>67</v>
      </c>
      <c r="AN9" t="s">
        <v>68</v>
      </c>
      <c r="AO9" t="s">
        <v>28</v>
      </c>
      <c r="AP9" t="s">
        <v>69</v>
      </c>
      <c r="AQ9" t="s">
        <v>91</v>
      </c>
    </row>
    <row r="10" spans="2:43">
      <c r="B10" t="s">
        <v>44</v>
      </c>
      <c r="C10">
        <v>4</v>
      </c>
      <c r="D10" t="s">
        <v>32</v>
      </c>
      <c r="E10">
        <v>0</v>
      </c>
      <c r="F10" t="s">
        <v>33</v>
      </c>
      <c r="G10" t="str">
        <f t="shared" si="0"/>
        <v>J4Ž</v>
      </c>
      <c r="H10" t="str">
        <f t="shared" si="1"/>
        <v>–</v>
      </c>
      <c r="I10" t="str">
        <f t="shared" si="2"/>
        <v>–</v>
      </c>
      <c r="L10" t="s">
        <v>46</v>
      </c>
      <c r="M10" t="s">
        <v>470</v>
      </c>
      <c r="N10" t="s">
        <v>496</v>
      </c>
      <c r="O10" t="s">
        <v>472</v>
      </c>
      <c r="P10">
        <v>2</v>
      </c>
      <c r="Q10" t="s">
        <v>40</v>
      </c>
      <c r="R10" t="s">
        <v>45</v>
      </c>
      <c r="S10">
        <v>3</v>
      </c>
      <c r="T10">
        <v>3</v>
      </c>
      <c r="U10" t="str">
        <f t="shared" si="3"/>
        <v>3/3</v>
      </c>
      <c r="V10" t="s">
        <v>41</v>
      </c>
      <c r="W10" t="s">
        <v>41</v>
      </c>
      <c r="X10" t="str">
        <f t="shared" si="4"/>
        <v>Adj+Adj</v>
      </c>
      <c r="Y10">
        <v>1</v>
      </c>
      <c r="AB10" t="s">
        <v>466</v>
      </c>
      <c r="AC10" t="s">
        <v>36</v>
      </c>
      <c r="AD10" t="s">
        <v>497</v>
      </c>
      <c r="AE10" t="s">
        <v>498</v>
      </c>
      <c r="AF10" t="s">
        <v>499</v>
      </c>
      <c r="AG10">
        <v>2</v>
      </c>
      <c r="AH10" t="s">
        <v>40</v>
      </c>
      <c r="AI10" t="s">
        <v>32</v>
      </c>
      <c r="AJ10">
        <v>2</v>
      </c>
      <c r="AK10">
        <v>2</v>
      </c>
      <c r="AL10" t="str">
        <f t="shared" ref="AL10:AL11" si="5">_xlfn.CONCAT(AJ10,"/",AK10)</f>
        <v>2/2</v>
      </c>
      <c r="AM10" t="s">
        <v>50</v>
      </c>
      <c r="AN10" t="s">
        <v>50</v>
      </c>
      <c r="AO10" t="str">
        <f t="shared" ref="AO10:AO11" si="6">_xlfn.CONCAT(AM10,"+",AN10)</f>
        <v>N+N</v>
      </c>
      <c r="AP10">
        <v>1</v>
      </c>
      <c r="AQ10" t="s">
        <v>135</v>
      </c>
    </row>
    <row r="11" spans="2:43">
      <c r="B11" t="s">
        <v>44</v>
      </c>
      <c r="C11">
        <v>4</v>
      </c>
      <c r="D11" t="s">
        <v>45</v>
      </c>
      <c r="E11">
        <v>0</v>
      </c>
      <c r="F11" t="s">
        <v>33</v>
      </c>
      <c r="G11" t="str">
        <f t="shared" si="0"/>
        <v>J4M</v>
      </c>
      <c r="H11" t="str">
        <f t="shared" si="1"/>
        <v>–</v>
      </c>
      <c r="I11" t="str">
        <f t="shared" si="2"/>
        <v>–</v>
      </c>
      <c r="L11" t="s">
        <v>151</v>
      </c>
      <c r="M11" t="s">
        <v>500</v>
      </c>
      <c r="N11" t="s">
        <v>501</v>
      </c>
      <c r="O11" t="s">
        <v>209</v>
      </c>
      <c r="P11">
        <v>2</v>
      </c>
      <c r="Q11" t="s">
        <v>40</v>
      </c>
      <c r="R11" t="s">
        <v>32</v>
      </c>
      <c r="S11">
        <v>2</v>
      </c>
      <c r="T11">
        <v>5</v>
      </c>
      <c r="U11" t="str">
        <f t="shared" si="3"/>
        <v>2/5</v>
      </c>
      <c r="V11" t="s">
        <v>75</v>
      </c>
      <c r="W11" t="s">
        <v>41</v>
      </c>
      <c r="X11" t="str">
        <f t="shared" si="4"/>
        <v>V+Adj</v>
      </c>
      <c r="Y11">
        <v>2</v>
      </c>
      <c r="Z11" t="s">
        <v>502</v>
      </c>
      <c r="AB11" t="s">
        <v>473</v>
      </c>
      <c r="AC11" t="s">
        <v>36</v>
      </c>
      <c r="AD11" t="s">
        <v>474</v>
      </c>
      <c r="AE11" t="s">
        <v>475</v>
      </c>
      <c r="AF11" t="s">
        <v>476</v>
      </c>
      <c r="AG11">
        <v>2</v>
      </c>
      <c r="AH11" t="s">
        <v>40</v>
      </c>
      <c r="AI11" t="s">
        <v>32</v>
      </c>
      <c r="AJ11">
        <v>2</v>
      </c>
      <c r="AK11">
        <v>2</v>
      </c>
      <c r="AL11" t="str">
        <f t="shared" si="5"/>
        <v>2/2</v>
      </c>
      <c r="AM11" t="s">
        <v>50</v>
      </c>
      <c r="AN11" t="s">
        <v>75</v>
      </c>
      <c r="AO11" t="str">
        <f t="shared" si="6"/>
        <v>N+V</v>
      </c>
      <c r="AP11">
        <v>2</v>
      </c>
      <c r="AQ11" t="s">
        <v>77</v>
      </c>
    </row>
    <row r="12" spans="2:43">
      <c r="B12" t="s">
        <v>44</v>
      </c>
      <c r="C12">
        <v>4</v>
      </c>
      <c r="D12" t="s">
        <v>45</v>
      </c>
      <c r="E12">
        <v>0</v>
      </c>
      <c r="F12" t="s">
        <v>33</v>
      </c>
      <c r="G12" t="str">
        <f t="shared" si="0"/>
        <v>J4M</v>
      </c>
      <c r="H12" t="str">
        <f t="shared" si="1"/>
        <v>–</v>
      </c>
      <c r="I12" t="str">
        <f t="shared" si="2"/>
        <v>–</v>
      </c>
      <c r="K12" t="s">
        <v>466</v>
      </c>
      <c r="L12" t="s">
        <v>36</v>
      </c>
      <c r="M12" t="s">
        <v>503</v>
      </c>
      <c r="N12" t="s">
        <v>498</v>
      </c>
      <c r="O12" t="s">
        <v>499</v>
      </c>
      <c r="P12">
        <v>2</v>
      </c>
      <c r="Q12" t="s">
        <v>40</v>
      </c>
      <c r="R12" t="s">
        <v>32</v>
      </c>
      <c r="S12">
        <v>2</v>
      </c>
      <c r="T12">
        <v>2</v>
      </c>
      <c r="U12" t="str">
        <f t="shared" si="3"/>
        <v>2/2</v>
      </c>
      <c r="V12" t="s">
        <v>50</v>
      </c>
      <c r="W12" t="s">
        <v>50</v>
      </c>
      <c r="X12" t="str">
        <f t="shared" si="4"/>
        <v>N+N</v>
      </c>
      <c r="Y12">
        <v>1</v>
      </c>
      <c r="Z12" t="s">
        <v>370</v>
      </c>
      <c r="AB12" t="s">
        <v>473</v>
      </c>
      <c r="AC12" t="s">
        <v>151</v>
      </c>
      <c r="AD12" t="s">
        <v>480</v>
      </c>
      <c r="AE12" t="s">
        <v>481</v>
      </c>
      <c r="AF12" t="s">
        <v>482</v>
      </c>
      <c r="AG12">
        <v>2</v>
      </c>
      <c r="AH12" t="s">
        <v>40</v>
      </c>
      <c r="AI12" t="s">
        <v>32</v>
      </c>
      <c r="AJ12">
        <v>2</v>
      </c>
      <c r="AK12">
        <v>2</v>
      </c>
      <c r="AL12" t="str">
        <f>_xlfn.CONCAT(AJ12,"/",AK12)</f>
        <v>2/2</v>
      </c>
      <c r="AM12" t="s">
        <v>50</v>
      </c>
      <c r="AN12" t="s">
        <v>75</v>
      </c>
      <c r="AO12" t="str">
        <f>_xlfn.CONCAT(AM12,"+",AN12)</f>
        <v>N+V</v>
      </c>
      <c r="AP12">
        <v>2</v>
      </c>
      <c r="AQ12" t="s">
        <v>77</v>
      </c>
    </row>
    <row r="13" spans="2:43">
      <c r="B13" t="s">
        <v>44</v>
      </c>
      <c r="C13">
        <v>4</v>
      </c>
      <c r="D13" t="s">
        <v>32</v>
      </c>
      <c r="E13">
        <v>2</v>
      </c>
      <c r="F13" t="s">
        <v>33</v>
      </c>
      <c r="G13" t="str">
        <f t="shared" si="0"/>
        <v>J4Ž</v>
      </c>
      <c r="H13" t="str">
        <f t="shared" si="1"/>
        <v>–</v>
      </c>
      <c r="I13" t="str">
        <f t="shared" si="2"/>
        <v>–</v>
      </c>
      <c r="L13" t="s">
        <v>46</v>
      </c>
      <c r="M13" t="s">
        <v>504</v>
      </c>
      <c r="N13" t="s">
        <v>505</v>
      </c>
      <c r="O13" t="s">
        <v>506</v>
      </c>
      <c r="P13">
        <v>2</v>
      </c>
      <c r="Q13" t="s">
        <v>40</v>
      </c>
      <c r="R13" t="s">
        <v>146</v>
      </c>
      <c r="S13">
        <v>3</v>
      </c>
      <c r="T13">
        <v>3</v>
      </c>
      <c r="U13" t="str">
        <f t="shared" si="3"/>
        <v>3/3</v>
      </c>
      <c r="V13" t="s">
        <v>41</v>
      </c>
      <c r="W13" t="s">
        <v>50</v>
      </c>
      <c r="X13" t="str">
        <f t="shared" si="4"/>
        <v>Adj+N</v>
      </c>
      <c r="Y13">
        <v>2</v>
      </c>
    </row>
    <row r="14" spans="2:43">
      <c r="B14" t="s">
        <v>31</v>
      </c>
      <c r="C14">
        <v>4</v>
      </c>
      <c r="D14" t="s">
        <v>32</v>
      </c>
      <c r="E14" t="s">
        <v>33</v>
      </c>
      <c r="F14" t="s">
        <v>33</v>
      </c>
      <c r="G14" t="s">
        <v>465</v>
      </c>
      <c r="H14" t="str">
        <f t="shared" si="1"/>
        <v>–</v>
      </c>
      <c r="I14" t="str">
        <f t="shared" si="2"/>
        <v>–</v>
      </c>
      <c r="L14" t="s">
        <v>151</v>
      </c>
      <c r="M14" t="s">
        <v>507</v>
      </c>
      <c r="N14" t="s">
        <v>508</v>
      </c>
      <c r="O14" t="s">
        <v>509</v>
      </c>
      <c r="P14">
        <v>2</v>
      </c>
      <c r="Q14" t="s">
        <v>40</v>
      </c>
      <c r="R14" t="s">
        <v>32</v>
      </c>
      <c r="S14">
        <v>2</v>
      </c>
      <c r="T14">
        <v>2</v>
      </c>
      <c r="U14" t="str">
        <f t="shared" si="3"/>
        <v>2/2</v>
      </c>
      <c r="V14" t="s">
        <v>50</v>
      </c>
      <c r="W14" t="s">
        <v>50</v>
      </c>
      <c r="X14" t="str">
        <f t="shared" si="4"/>
        <v>N+N</v>
      </c>
      <c r="Y14">
        <v>1</v>
      </c>
    </row>
    <row r="15" spans="2:43">
      <c r="B15" t="s">
        <v>44</v>
      </c>
      <c r="C15">
        <v>4</v>
      </c>
      <c r="D15" t="s">
        <v>32</v>
      </c>
      <c r="E15">
        <v>1</v>
      </c>
      <c r="F15" t="s">
        <v>33</v>
      </c>
      <c r="G15" t="str">
        <f t="shared" si="0"/>
        <v>J4Ž</v>
      </c>
      <c r="H15" t="str">
        <f t="shared" si="1"/>
        <v>–</v>
      </c>
      <c r="I15" t="str">
        <f t="shared" si="2"/>
        <v>–</v>
      </c>
      <c r="K15" t="s">
        <v>466</v>
      </c>
      <c r="L15" t="s">
        <v>36</v>
      </c>
      <c r="M15" t="s">
        <v>510</v>
      </c>
      <c r="N15" t="s">
        <v>511</v>
      </c>
      <c r="O15" t="s">
        <v>512</v>
      </c>
      <c r="P15">
        <v>2</v>
      </c>
      <c r="Q15" t="s">
        <v>40</v>
      </c>
      <c r="R15" t="s">
        <v>32</v>
      </c>
      <c r="S15">
        <v>2</v>
      </c>
      <c r="T15">
        <v>2</v>
      </c>
      <c r="U15" t="str">
        <f t="shared" si="3"/>
        <v>2/2</v>
      </c>
      <c r="V15" t="s">
        <v>50</v>
      </c>
      <c r="W15" t="s">
        <v>50</v>
      </c>
      <c r="X15" t="str">
        <f t="shared" si="4"/>
        <v>N+N</v>
      </c>
      <c r="Y15">
        <v>1</v>
      </c>
    </row>
    <row r="16" spans="2:43">
      <c r="B16" t="s">
        <v>71</v>
      </c>
      <c r="C16">
        <v>5</v>
      </c>
      <c r="D16" t="s">
        <v>32</v>
      </c>
      <c r="E16" t="s">
        <v>33</v>
      </c>
      <c r="F16" t="s">
        <v>33</v>
      </c>
      <c r="G16" t="str">
        <f t="shared" si="0"/>
        <v>T5Ž</v>
      </c>
      <c r="H16" t="str">
        <f t="shared" si="1"/>
        <v>–</v>
      </c>
      <c r="I16" t="str">
        <f t="shared" si="2"/>
        <v>–</v>
      </c>
      <c r="L16" t="s">
        <v>46</v>
      </c>
      <c r="M16" t="s">
        <v>513</v>
      </c>
      <c r="N16" t="s">
        <v>514</v>
      </c>
      <c r="O16" t="s">
        <v>515</v>
      </c>
      <c r="P16">
        <v>1</v>
      </c>
      <c r="Q16" t="s">
        <v>58</v>
      </c>
      <c r="R16" t="s">
        <v>45</v>
      </c>
      <c r="S16">
        <v>1</v>
      </c>
      <c r="T16">
        <v>1</v>
      </c>
      <c r="U16" t="str">
        <f t="shared" si="3"/>
        <v>1/1</v>
      </c>
      <c r="V16" t="s">
        <v>50</v>
      </c>
      <c r="W16" t="s">
        <v>50</v>
      </c>
      <c r="X16" t="str">
        <f t="shared" si="4"/>
        <v>N+N</v>
      </c>
      <c r="Y16">
        <v>1</v>
      </c>
    </row>
    <row r="17" spans="2:26">
      <c r="B17" t="s">
        <v>44</v>
      </c>
      <c r="C17">
        <v>4</v>
      </c>
      <c r="D17" t="s">
        <v>45</v>
      </c>
      <c r="E17">
        <v>1</v>
      </c>
      <c r="F17" t="s">
        <v>33</v>
      </c>
      <c r="G17" t="str">
        <f t="shared" si="0"/>
        <v>J4M</v>
      </c>
      <c r="H17" t="str">
        <f t="shared" si="1"/>
        <v>–</v>
      </c>
      <c r="I17" t="str">
        <f t="shared" si="2"/>
        <v>–</v>
      </c>
      <c r="L17" t="s">
        <v>151</v>
      </c>
      <c r="M17" t="s">
        <v>516</v>
      </c>
      <c r="N17" t="s">
        <v>517</v>
      </c>
      <c r="O17" t="s">
        <v>518</v>
      </c>
      <c r="P17">
        <v>2</v>
      </c>
      <c r="Q17" t="s">
        <v>40</v>
      </c>
      <c r="R17" t="s">
        <v>32</v>
      </c>
      <c r="S17">
        <v>4</v>
      </c>
      <c r="T17">
        <v>2</v>
      </c>
      <c r="U17" t="str">
        <f t="shared" si="3"/>
        <v>4/2</v>
      </c>
      <c r="V17" t="s">
        <v>41</v>
      </c>
      <c r="W17" t="s">
        <v>75</v>
      </c>
      <c r="X17" t="str">
        <f t="shared" si="4"/>
        <v>Adj+V</v>
      </c>
      <c r="Y17">
        <v>2</v>
      </c>
    </row>
    <row r="18" spans="2:26">
      <c r="B18" t="s">
        <v>44</v>
      </c>
      <c r="C18">
        <v>4</v>
      </c>
      <c r="D18" t="s">
        <v>45</v>
      </c>
      <c r="E18">
        <v>1</v>
      </c>
      <c r="F18" t="s">
        <v>33</v>
      </c>
      <c r="G18" t="str">
        <f t="shared" si="0"/>
        <v>J4M</v>
      </c>
      <c r="H18" t="str">
        <f t="shared" si="1"/>
        <v>–</v>
      </c>
      <c r="I18" t="str">
        <f t="shared" si="2"/>
        <v>–</v>
      </c>
      <c r="K18" t="s">
        <v>473</v>
      </c>
      <c r="L18" t="s">
        <v>36</v>
      </c>
      <c r="M18" t="s">
        <v>474</v>
      </c>
      <c r="N18" t="s">
        <v>475</v>
      </c>
      <c r="O18" t="s">
        <v>476</v>
      </c>
      <c r="P18">
        <v>2</v>
      </c>
      <c r="Q18" t="s">
        <v>40</v>
      </c>
      <c r="R18" t="s">
        <v>32</v>
      </c>
      <c r="S18">
        <v>2</v>
      </c>
      <c r="T18">
        <v>2</v>
      </c>
      <c r="U18" t="str">
        <f t="shared" si="3"/>
        <v>2/2</v>
      </c>
      <c r="V18" t="s">
        <v>50</v>
      </c>
      <c r="W18" t="s">
        <v>75</v>
      </c>
      <c r="X18" t="str">
        <f t="shared" si="4"/>
        <v>N+V</v>
      </c>
      <c r="Y18">
        <v>2</v>
      </c>
      <c r="Z18" t="s">
        <v>43</v>
      </c>
    </row>
    <row r="19" spans="2:26">
      <c r="B19" t="s">
        <v>31</v>
      </c>
      <c r="C19">
        <v>4</v>
      </c>
      <c r="D19" t="s">
        <v>32</v>
      </c>
      <c r="E19" t="s">
        <v>33</v>
      </c>
      <c r="F19" t="s">
        <v>33</v>
      </c>
      <c r="G19" t="s">
        <v>465</v>
      </c>
      <c r="H19" t="str">
        <f t="shared" si="1"/>
        <v>–</v>
      </c>
      <c r="I19" t="str">
        <f t="shared" si="2"/>
        <v>–</v>
      </c>
      <c r="L19" t="s">
        <v>46</v>
      </c>
      <c r="M19" t="s">
        <v>519</v>
      </c>
      <c r="N19" t="s">
        <v>520</v>
      </c>
      <c r="O19" t="s">
        <v>521</v>
      </c>
      <c r="P19">
        <v>2</v>
      </c>
      <c r="Q19" t="s">
        <v>40</v>
      </c>
      <c r="R19" t="s">
        <v>45</v>
      </c>
      <c r="S19">
        <v>3</v>
      </c>
      <c r="T19">
        <v>3</v>
      </c>
      <c r="U19" t="str">
        <f t="shared" si="3"/>
        <v>3/3</v>
      </c>
      <c r="V19" t="s">
        <v>41</v>
      </c>
      <c r="W19" t="s">
        <v>75</v>
      </c>
      <c r="X19" t="str">
        <f t="shared" si="4"/>
        <v>Adj+V</v>
      </c>
      <c r="Y19">
        <v>2</v>
      </c>
    </row>
    <row r="20" spans="2:26">
      <c r="B20" t="s">
        <v>31</v>
      </c>
      <c r="C20">
        <v>4</v>
      </c>
      <c r="D20" t="s">
        <v>32</v>
      </c>
      <c r="E20" t="s">
        <v>33</v>
      </c>
      <c r="F20" t="s">
        <v>33</v>
      </c>
      <c r="G20" t="s">
        <v>243</v>
      </c>
      <c r="H20" t="str">
        <f t="shared" si="1"/>
        <v>–</v>
      </c>
      <c r="I20" t="str">
        <f t="shared" si="2"/>
        <v>–</v>
      </c>
      <c r="L20" t="s">
        <v>151</v>
      </c>
      <c r="M20" s="7" t="s">
        <v>480</v>
      </c>
      <c r="N20" t="s">
        <v>481</v>
      </c>
      <c r="O20" t="s">
        <v>522</v>
      </c>
      <c r="P20">
        <v>2</v>
      </c>
      <c r="Q20" t="s">
        <v>40</v>
      </c>
      <c r="R20" t="s">
        <v>32</v>
      </c>
      <c r="S20">
        <v>2</v>
      </c>
      <c r="T20">
        <v>2</v>
      </c>
      <c r="U20" t="str">
        <f t="shared" si="3"/>
        <v>2/2</v>
      </c>
      <c r="V20" t="s">
        <v>50</v>
      </c>
      <c r="W20" t="s">
        <v>75</v>
      </c>
      <c r="X20" t="str">
        <f t="shared" si="4"/>
        <v>N+V</v>
      </c>
      <c r="Y20">
        <v>2</v>
      </c>
      <c r="Z20" t="s">
        <v>43</v>
      </c>
    </row>
    <row r="21" spans="2:26">
      <c r="B21" t="s">
        <v>44</v>
      </c>
      <c r="C21">
        <v>4</v>
      </c>
      <c r="D21" t="s">
        <v>32</v>
      </c>
      <c r="E21">
        <v>0</v>
      </c>
      <c r="F21" t="s">
        <v>33</v>
      </c>
      <c r="G21" t="str">
        <f t="shared" si="0"/>
        <v>J4Ž</v>
      </c>
      <c r="H21" t="str">
        <f t="shared" si="1"/>
        <v>–</v>
      </c>
      <c r="I21" t="str">
        <f t="shared" si="2"/>
        <v>–</v>
      </c>
      <c r="L21" t="s">
        <v>158</v>
      </c>
      <c r="M21" s="7" t="s">
        <v>523</v>
      </c>
      <c r="N21" t="s">
        <v>524</v>
      </c>
      <c r="O21" t="s">
        <v>525</v>
      </c>
      <c r="P21">
        <v>2</v>
      </c>
      <c r="Q21" t="s">
        <v>58</v>
      </c>
      <c r="R21" t="s">
        <v>32</v>
      </c>
      <c r="S21">
        <v>2</v>
      </c>
      <c r="T21">
        <v>2</v>
      </c>
      <c r="U21" t="str">
        <f t="shared" si="3"/>
        <v>2/2</v>
      </c>
      <c r="V21" t="s">
        <v>41</v>
      </c>
      <c r="W21" t="s">
        <v>41</v>
      </c>
      <c r="X21" t="str">
        <f t="shared" si="4"/>
        <v>Adj+Adj</v>
      </c>
      <c r="Y21">
        <v>0</v>
      </c>
    </row>
    <row r="22" spans="2:26">
      <c r="B22" t="s">
        <v>44</v>
      </c>
      <c r="C22">
        <v>4</v>
      </c>
      <c r="D22" t="s">
        <v>32</v>
      </c>
      <c r="E22">
        <v>1</v>
      </c>
      <c r="F22" t="s">
        <v>33</v>
      </c>
      <c r="G22" t="str">
        <f t="shared" si="0"/>
        <v>J4Ž</v>
      </c>
      <c r="H22" t="str">
        <f t="shared" si="1"/>
        <v>–</v>
      </c>
      <c r="I22" t="str">
        <f t="shared" si="2"/>
        <v>–</v>
      </c>
      <c r="M22" s="7"/>
    </row>
    <row r="23" spans="2:26">
      <c r="B23" t="s">
        <v>44</v>
      </c>
      <c r="C23">
        <v>4</v>
      </c>
      <c r="D23" t="s">
        <v>45</v>
      </c>
      <c r="E23">
        <v>0</v>
      </c>
      <c r="F23" t="s">
        <v>33</v>
      </c>
      <c r="G23" t="str">
        <f t="shared" si="0"/>
        <v>J4M</v>
      </c>
      <c r="H23" t="str">
        <f t="shared" si="1"/>
        <v>–</v>
      </c>
      <c r="I23" t="str">
        <f t="shared" si="2"/>
        <v>–</v>
      </c>
    </row>
    <row r="24" spans="2:26">
      <c r="B24" t="s">
        <v>193</v>
      </c>
      <c r="C24">
        <v>3</v>
      </c>
      <c r="D24" t="s">
        <v>102</v>
      </c>
      <c r="E24" t="s">
        <v>33</v>
      </c>
      <c r="F24" t="s">
        <v>33</v>
      </c>
      <c r="G24" t="str">
        <f t="shared" si="0"/>
        <v>D3A</v>
      </c>
      <c r="H24" t="str">
        <f t="shared" si="1"/>
        <v>–</v>
      </c>
      <c r="I24" t="str">
        <f t="shared" si="2"/>
        <v>–</v>
      </c>
    </row>
    <row r="25" spans="2:26">
      <c r="B25" t="s">
        <v>44</v>
      </c>
      <c r="C25">
        <v>4</v>
      </c>
      <c r="D25" t="s">
        <v>32</v>
      </c>
      <c r="E25">
        <v>1</v>
      </c>
      <c r="F25" t="s">
        <v>33</v>
      </c>
      <c r="G25" t="str">
        <f t="shared" si="0"/>
        <v>J4Ž</v>
      </c>
      <c r="H25" t="str">
        <f t="shared" si="1"/>
        <v>–</v>
      </c>
      <c r="I25" t="str">
        <f t="shared" si="2"/>
        <v>–</v>
      </c>
    </row>
    <row r="26" spans="2:26">
      <c r="B26" t="s">
        <v>31</v>
      </c>
      <c r="C26">
        <v>4</v>
      </c>
      <c r="D26" t="s">
        <v>32</v>
      </c>
      <c r="E26" t="s">
        <v>33</v>
      </c>
      <c r="F26" t="s">
        <v>33</v>
      </c>
      <c r="G26" t="s">
        <v>465</v>
      </c>
      <c r="H26" t="str">
        <f t="shared" si="1"/>
        <v>–</v>
      </c>
      <c r="I26" t="str">
        <f t="shared" si="2"/>
        <v>–</v>
      </c>
    </row>
    <row r="27" spans="2:26">
      <c r="B27" t="s">
        <v>44</v>
      </c>
      <c r="C27">
        <v>4</v>
      </c>
      <c r="D27" t="s">
        <v>32</v>
      </c>
      <c r="E27">
        <v>0</v>
      </c>
      <c r="F27" t="s">
        <v>33</v>
      </c>
      <c r="G27" t="str">
        <f t="shared" si="0"/>
        <v>J4Ž</v>
      </c>
      <c r="H27" t="str">
        <f t="shared" si="1"/>
        <v>–</v>
      </c>
      <c r="I27" t="str">
        <f t="shared" si="2"/>
        <v>–</v>
      </c>
    </row>
    <row r="28" spans="2:26">
      <c r="B28" t="s">
        <v>44</v>
      </c>
      <c r="C28">
        <v>4</v>
      </c>
      <c r="D28" t="s">
        <v>32</v>
      </c>
      <c r="E28">
        <v>1</v>
      </c>
      <c r="F28" t="s">
        <v>33</v>
      </c>
      <c r="G28" t="str">
        <f t="shared" si="0"/>
        <v>J4Ž</v>
      </c>
      <c r="H28" t="str">
        <f t="shared" si="1"/>
        <v>–</v>
      </c>
      <c r="I28" t="str">
        <f t="shared" si="2"/>
        <v>–</v>
      </c>
    </row>
    <row r="29" spans="2:26">
      <c r="B29" t="s">
        <v>44</v>
      </c>
      <c r="C29">
        <v>4</v>
      </c>
      <c r="D29" t="s">
        <v>45</v>
      </c>
      <c r="E29">
        <v>1</v>
      </c>
      <c r="F29" t="s">
        <v>33</v>
      </c>
      <c r="G29" t="str">
        <f t="shared" si="0"/>
        <v>J4M</v>
      </c>
      <c r="H29" t="str">
        <f t="shared" si="1"/>
        <v>–</v>
      </c>
      <c r="I29" t="str">
        <f t="shared" si="2"/>
        <v>–</v>
      </c>
    </row>
    <row r="30" spans="2:26">
      <c r="B30" t="s">
        <v>44</v>
      </c>
      <c r="C30">
        <v>4</v>
      </c>
      <c r="D30" t="s">
        <v>45</v>
      </c>
      <c r="E30">
        <v>0</v>
      </c>
      <c r="F30" t="s">
        <v>33</v>
      </c>
      <c r="G30" t="str">
        <f t="shared" si="0"/>
        <v>J4M</v>
      </c>
      <c r="H30" t="str">
        <f t="shared" si="1"/>
        <v>–</v>
      </c>
      <c r="I30" t="str">
        <f t="shared" si="2"/>
        <v>–</v>
      </c>
    </row>
    <row r="31" spans="2:26">
      <c r="B31" t="s">
        <v>71</v>
      </c>
      <c r="C31">
        <v>5</v>
      </c>
      <c r="D31" t="s">
        <v>32</v>
      </c>
      <c r="E31" t="s">
        <v>33</v>
      </c>
      <c r="F31" t="s">
        <v>33</v>
      </c>
      <c r="G31" t="str">
        <f t="shared" si="0"/>
        <v>T5Ž</v>
      </c>
      <c r="H31" t="str">
        <f t="shared" si="1"/>
        <v>–</v>
      </c>
      <c r="I31" t="str">
        <f t="shared" si="2"/>
        <v>–</v>
      </c>
    </row>
    <row r="32" spans="2:26">
      <c r="B32" t="s">
        <v>44</v>
      </c>
      <c r="C32">
        <v>4</v>
      </c>
      <c r="D32" t="s">
        <v>32</v>
      </c>
      <c r="E32">
        <v>1</v>
      </c>
      <c r="F32" t="s">
        <v>33</v>
      </c>
      <c r="G32" t="str">
        <f t="shared" si="0"/>
        <v>J4Ž</v>
      </c>
      <c r="H32" t="str">
        <f t="shared" si="1"/>
        <v>–</v>
      </c>
      <c r="I32" t="str">
        <f t="shared" si="2"/>
        <v>–</v>
      </c>
    </row>
    <row r="33" spans="2:9">
      <c r="B33" t="s">
        <v>31</v>
      </c>
      <c r="C33">
        <v>4</v>
      </c>
      <c r="D33" t="s">
        <v>32</v>
      </c>
      <c r="E33" t="s">
        <v>33</v>
      </c>
      <c r="F33" t="s">
        <v>33</v>
      </c>
      <c r="G33" t="s">
        <v>526</v>
      </c>
      <c r="H33" t="str">
        <f t="shared" si="1"/>
        <v>–</v>
      </c>
      <c r="I33" t="str">
        <f t="shared" si="2"/>
        <v>–</v>
      </c>
    </row>
    <row r="34" spans="2:9">
      <c r="B34" t="s">
        <v>44</v>
      </c>
      <c r="C34">
        <v>4</v>
      </c>
      <c r="D34" t="s">
        <v>32</v>
      </c>
      <c r="E34">
        <v>0</v>
      </c>
      <c r="F34" t="s">
        <v>33</v>
      </c>
      <c r="G34" t="str">
        <f t="shared" si="0"/>
        <v>J4Ž</v>
      </c>
      <c r="H34" t="str">
        <f t="shared" si="1"/>
        <v>–</v>
      </c>
      <c r="I34" t="str">
        <f t="shared" si="2"/>
        <v>–</v>
      </c>
    </row>
    <row r="35" spans="2:9">
      <c r="B35" t="s">
        <v>44</v>
      </c>
      <c r="C35">
        <v>4</v>
      </c>
      <c r="D35" t="s">
        <v>45</v>
      </c>
      <c r="E35">
        <v>0</v>
      </c>
      <c r="F35" t="s">
        <v>33</v>
      </c>
      <c r="G35" t="str">
        <f t="shared" si="0"/>
        <v>J4M</v>
      </c>
      <c r="H35" t="str">
        <f t="shared" si="1"/>
        <v>–</v>
      </c>
      <c r="I35" t="str">
        <f t="shared" si="2"/>
        <v>–</v>
      </c>
    </row>
    <row r="36" spans="2:9">
      <c r="B36" t="s">
        <v>44</v>
      </c>
      <c r="C36">
        <v>4</v>
      </c>
      <c r="D36" t="s">
        <v>45</v>
      </c>
      <c r="E36">
        <v>1</v>
      </c>
      <c r="F36" t="s">
        <v>33</v>
      </c>
      <c r="G36" t="str">
        <f t="shared" si="0"/>
        <v>J4M</v>
      </c>
      <c r="H36" t="str">
        <f t="shared" si="1"/>
        <v>–</v>
      </c>
      <c r="I36" t="str">
        <f t="shared" si="2"/>
        <v>–</v>
      </c>
    </row>
    <row r="37" spans="2:9">
      <c r="B37" t="s">
        <v>44</v>
      </c>
      <c r="C37">
        <v>4</v>
      </c>
      <c r="D37" t="s">
        <v>32</v>
      </c>
      <c r="E37">
        <v>0</v>
      </c>
      <c r="F37" t="s">
        <v>33</v>
      </c>
      <c r="G37" t="str">
        <f t="shared" si="0"/>
        <v>J4Ž</v>
      </c>
      <c r="H37" t="str">
        <f t="shared" si="1"/>
        <v>–</v>
      </c>
      <c r="I37" t="str">
        <f t="shared" si="2"/>
        <v>–</v>
      </c>
    </row>
    <row r="38" spans="2:9">
      <c r="B38" t="s">
        <v>44</v>
      </c>
      <c r="C38">
        <v>4</v>
      </c>
      <c r="D38" t="s">
        <v>32</v>
      </c>
      <c r="E38">
        <v>0</v>
      </c>
      <c r="F38" t="s">
        <v>33</v>
      </c>
      <c r="G38" t="str">
        <f t="shared" si="0"/>
        <v>J4Ž</v>
      </c>
      <c r="H38" t="str">
        <f t="shared" si="1"/>
        <v>–</v>
      </c>
      <c r="I38" t="str">
        <f t="shared" si="2"/>
        <v>–</v>
      </c>
    </row>
    <row r="39" spans="2:9">
      <c r="B39" t="s">
        <v>44</v>
      </c>
      <c r="C39">
        <v>4</v>
      </c>
      <c r="D39" t="s">
        <v>32</v>
      </c>
      <c r="E39">
        <v>0</v>
      </c>
      <c r="F39" t="s">
        <v>33</v>
      </c>
      <c r="G39" t="str">
        <f t="shared" si="0"/>
        <v>J4Ž</v>
      </c>
      <c r="H39" t="str">
        <f t="shared" si="1"/>
        <v>–</v>
      </c>
      <c r="I39" t="str">
        <f t="shared" si="2"/>
        <v>–</v>
      </c>
    </row>
    <row r="40" spans="2:9">
      <c r="B40" t="s">
        <v>44</v>
      </c>
      <c r="C40">
        <v>4</v>
      </c>
      <c r="D40" t="s">
        <v>32</v>
      </c>
      <c r="E40">
        <v>1</v>
      </c>
      <c r="F40" t="s">
        <v>33</v>
      </c>
      <c r="G40" t="str">
        <f t="shared" si="0"/>
        <v>J4Ž</v>
      </c>
      <c r="H40" t="str">
        <f t="shared" si="1"/>
        <v>–</v>
      </c>
      <c r="I40" t="str">
        <f t="shared" si="2"/>
        <v>–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A011C-241F-41D1-9E1F-54A51F8566C4}">
  <dimension ref="B2:S34"/>
  <sheetViews>
    <sheetView workbookViewId="0">
      <selection activeCell="C2" sqref="C2"/>
    </sheetView>
  </sheetViews>
  <sheetFormatPr defaultRowHeight="14.45"/>
  <cols>
    <col min="3" max="3" width="46.42578125" bestFit="1" customWidth="1"/>
    <col min="7" max="7" width="14" customWidth="1"/>
    <col min="8" max="8" width="12.140625" customWidth="1"/>
    <col min="9" max="9" width="13.85546875" customWidth="1"/>
    <col min="10" max="10" width="16.85546875" customWidth="1"/>
    <col min="11" max="11" width="14.28515625" customWidth="1"/>
    <col min="12" max="12" width="18.42578125" customWidth="1"/>
    <col min="13" max="13" width="16.7109375" customWidth="1"/>
    <col min="14" max="14" width="11.42578125" customWidth="1"/>
    <col min="15" max="15" width="12.5703125" bestFit="1" customWidth="1"/>
  </cols>
  <sheetData>
    <row r="2" spans="2:15">
      <c r="D2" t="s">
        <v>7</v>
      </c>
      <c r="E2" t="s">
        <v>104</v>
      </c>
      <c r="F2" t="s">
        <v>138</v>
      </c>
      <c r="G2" t="s">
        <v>169</v>
      </c>
      <c r="H2" t="s">
        <v>216</v>
      </c>
      <c r="I2" t="s">
        <v>244</v>
      </c>
      <c r="J2" t="s">
        <v>292</v>
      </c>
      <c r="K2" t="s">
        <v>320</v>
      </c>
      <c r="L2" t="s">
        <v>346</v>
      </c>
      <c r="M2" t="s">
        <v>372</v>
      </c>
      <c r="N2" t="s">
        <v>421</v>
      </c>
      <c r="O2" t="s">
        <v>464</v>
      </c>
    </row>
    <row r="3" spans="2:15">
      <c r="C3" t="s">
        <v>527</v>
      </c>
      <c r="D3">
        <f>COUNTIF(Hory!B:B,"J")</f>
        <v>16</v>
      </c>
      <c r="E3">
        <f>COUNTIF(Zavolej!B:B,"J")</f>
        <v>14</v>
      </c>
      <c r="F3">
        <f>COUNTIF(Ještě_jaro!B:B,"J")</f>
        <v>11</v>
      </c>
      <c r="G3">
        <f>COUNTIF(Ženy_na_ohnici!B:B,"J")</f>
        <v>20</v>
      </c>
      <c r="H3">
        <f>COUNTIF(Větroplach!B:B,"J")</f>
        <v>18</v>
      </c>
      <c r="I3">
        <f>COUNTIF(Na_hřbitově!B:B,"J")</f>
        <v>29</v>
      </c>
      <c r="J3">
        <f>COUNTIF(Rekonvalescent!B:B,"J")</f>
        <v>17</v>
      </c>
      <c r="K3">
        <f>COUNTIF(Píseň_o_studni!B:B,"J")</f>
        <v>19</v>
      </c>
      <c r="L3">
        <f>COUNTIF(Spáči_mluví_ze_sna!B:B,"J")</f>
        <v>15</v>
      </c>
      <c r="M3">
        <f>COUNTIF(Kvetoucí_mohyla!B:B,"J")</f>
        <v>26</v>
      </c>
      <c r="N3">
        <f>COUNTIF(Slunovrat!B:B,"J")</f>
        <v>19</v>
      </c>
      <c r="O3">
        <f>COUNTIF(Hromnice_hoří!B:B,"J")</f>
        <v>27</v>
      </c>
    </row>
    <row r="4" spans="2:15">
      <c r="C4" t="s">
        <v>528</v>
      </c>
      <c r="D4">
        <f>COUNTIF(Hory!B:B,"T")</f>
        <v>1</v>
      </c>
      <c r="E4">
        <f>COUNTIF(Zavolej!B:B,"T")</f>
        <v>0</v>
      </c>
      <c r="F4">
        <f>COUNTIF(Ještě_jaro!B:B,"T")</f>
        <v>2</v>
      </c>
      <c r="G4">
        <f>COUNTIF(Ženy_na_ohnici!B:B,"T")</f>
        <v>0</v>
      </c>
      <c r="H4">
        <f>COUNTIF(Větroplach!B:B,"T")</f>
        <v>0</v>
      </c>
      <c r="I4">
        <f>COUNTIF(Na_hřbitově!B:B,"T")</f>
        <v>0</v>
      </c>
      <c r="J4">
        <f>COUNTIF(Rekonvalescent!B:B,"T")</f>
        <v>0</v>
      </c>
      <c r="K4">
        <f>COUNTIF(Píseň_o_studni!B:B,"T")</f>
        <v>0</v>
      </c>
      <c r="L4">
        <f>COUNTIF(Spáči_mluví_ze_sna!B:B,"T")</f>
        <v>1</v>
      </c>
      <c r="M4">
        <f>COUNTIF(Kvetoucí_mohyla!B:B,"T")</f>
        <v>0</v>
      </c>
      <c r="N4">
        <f>COUNTIF(Slunovrat!B:B,"T")</f>
        <v>0</v>
      </c>
      <c r="O4">
        <f>COUNTIF(Hromnice_hoří!B:B,"T")</f>
        <v>2</v>
      </c>
    </row>
    <row r="5" spans="2:15">
      <c r="C5" t="s">
        <v>529</v>
      </c>
      <c r="D5">
        <f>COUNTIF(Hory!B:B,"D")</f>
        <v>0</v>
      </c>
      <c r="E5">
        <f>COUNTIF(Zavolej!B:B,"D")</f>
        <v>0</v>
      </c>
      <c r="F5">
        <f>COUNTIF(Ještě_jaro!B:B,"D")</f>
        <v>0</v>
      </c>
      <c r="G5">
        <f>COUNTIF(Ženy_na_ohnici!B:B,"D")</f>
        <v>2</v>
      </c>
      <c r="H5">
        <f>COUNTIF(Větroplach!B:B,"D")</f>
        <v>0</v>
      </c>
      <c r="I5">
        <f>COUNTIF(Na_hřbitově!B:B,"D")</f>
        <v>0</v>
      </c>
      <c r="J5">
        <f>COUNTIF(Rekonvalescent!B:B,"D")</f>
        <v>0</v>
      </c>
      <c r="K5">
        <f>COUNTIF(Píseň_o_studni!B:B,"D")</f>
        <v>0</v>
      </c>
      <c r="L5">
        <f>COUNTIF(Spáči_mluví_ze_sna!B:B,"D")</f>
        <v>0</v>
      </c>
      <c r="M5">
        <f>COUNTIF(Kvetoucí_mohyla!B:B,"D")</f>
        <v>0</v>
      </c>
      <c r="N5">
        <f>COUNTIF(Slunovrat!B:B,"D")</f>
        <v>1</v>
      </c>
      <c r="O5">
        <f>COUNTIF(Hromnice_hoří!B:B,"D")</f>
        <v>1</v>
      </c>
    </row>
    <row r="6" spans="2:15">
      <c r="C6" t="s">
        <v>530</v>
      </c>
      <c r="D6">
        <f>COUNTIF(Hory!B:B,"pD")</f>
        <v>1</v>
      </c>
      <c r="E6">
        <f>COUNTIF(Zavolej!B:B,"pD")</f>
        <v>0</v>
      </c>
      <c r="F6">
        <f>COUNTIF(Ještě_jaro!B:B,"pD")</f>
        <v>2</v>
      </c>
      <c r="G6">
        <f>COUNTIF(Ženy_na_ohnici!B:B,"pD")</f>
        <v>0</v>
      </c>
      <c r="H6">
        <f>COUNTIF(Větroplach!B:B,"pD")</f>
        <v>1</v>
      </c>
      <c r="I6">
        <f>COUNTIF(Na_hřbitově!B:B,"pD")</f>
        <v>2</v>
      </c>
      <c r="J6">
        <f>COUNTIF(Rekonvalescent!B:B,"pD")</f>
        <v>2</v>
      </c>
      <c r="K6">
        <f>COUNTIF(Píseň_o_studni!B:B,"pD")</f>
        <v>1</v>
      </c>
      <c r="L6">
        <f>COUNTIF(Spáči_mluví_ze_sna!B:B,"pD")</f>
        <v>3</v>
      </c>
      <c r="M6">
        <f>COUNTIF(Kvetoucí_mohyla!B:B,"pD")</f>
        <v>0</v>
      </c>
      <c r="N6">
        <f>COUNTIF(Slunovrat!B:B,"pD")</f>
        <v>0</v>
      </c>
      <c r="O6">
        <f>COUNTIF(Hromnice_hoří!B:B,"pD")</f>
        <v>0</v>
      </c>
    </row>
    <row r="7" spans="2:15">
      <c r="C7" t="s">
        <v>531</v>
      </c>
      <c r="D7">
        <f>COUNTIF(Hory!B:B,"DT")</f>
        <v>6</v>
      </c>
      <c r="E7">
        <f>COUNTIF(Zavolej!B:B,"DT")</f>
        <v>1</v>
      </c>
      <c r="F7">
        <f>COUNTIF(Ještě_jaro!B:B,"DT")</f>
        <v>1</v>
      </c>
      <c r="G7">
        <f>COUNTIF(Ženy_na_ohnici!B:B,"DT")</f>
        <v>6</v>
      </c>
      <c r="H7">
        <f>COUNTIF(Větroplach!B:B,"DT")</f>
        <v>1</v>
      </c>
      <c r="I7">
        <f>COUNTIF(Na_hřbitově!B:B,"DT")</f>
        <v>1</v>
      </c>
      <c r="J7">
        <f>COUNTIF(Rekonvalescent!B:B,"DT")</f>
        <v>1</v>
      </c>
      <c r="K7">
        <f>COUNTIF(Píseň_o_studni!B:B,"DT")</f>
        <v>0</v>
      </c>
      <c r="L7">
        <f>COUNTIF(Spáči_mluví_ze_sna!B:B,"DT")</f>
        <v>0</v>
      </c>
      <c r="M7">
        <f>COUNTIF(Kvetoucí_mohyla!B:B,"DT")</f>
        <v>6</v>
      </c>
      <c r="N7">
        <f>COUNTIF(Slunovrat!B:B,"DT")</f>
        <v>3</v>
      </c>
      <c r="O7">
        <f>COUNTIF(Hromnice_hoří!B:B,"DT")</f>
        <v>8</v>
      </c>
    </row>
    <row r="8" spans="2:15">
      <c r="C8" t="s">
        <v>532</v>
      </c>
      <c r="D8">
        <f>COUNTIF(Hory!B:B,"pDT")</f>
        <v>0</v>
      </c>
      <c r="E8">
        <f>COUNTIF(Zavolej!B:B,"pDT")</f>
        <v>1</v>
      </c>
      <c r="F8">
        <f>COUNTIF(Ještě_jaro!B:B,"pDT")</f>
        <v>0</v>
      </c>
      <c r="G8">
        <f>COUNTIF(Ženy_na_ohnici!B:B,"pDT")</f>
        <v>0</v>
      </c>
      <c r="H8">
        <f>COUNTIF(Větroplach!B:B,"pDT")</f>
        <v>0</v>
      </c>
      <c r="I8">
        <f>COUNTIF(Na_hřbitově!B:B,"pDT")</f>
        <v>0</v>
      </c>
      <c r="J8">
        <f>COUNTIF(Rekonvalescent!B:B,"pDT")</f>
        <v>0</v>
      </c>
      <c r="K8">
        <f>COUNTIF(Píseň_o_studni!B:B,"pDT")</f>
        <v>0</v>
      </c>
      <c r="L8">
        <f>COUNTIF(Spáči_mluví_ze_sna!B:B,"pDT")</f>
        <v>1</v>
      </c>
      <c r="M8">
        <f>COUNTIF(Kvetoucí_mohyla!B:B,"pDT")</f>
        <v>0</v>
      </c>
      <c r="N8">
        <f>COUNTIF(Slunovrat!B:B,"pDT")</f>
        <v>1</v>
      </c>
      <c r="O8">
        <f>COUNTIF(Hromnice_hoří!B:B,"pDT")</f>
        <v>0</v>
      </c>
    </row>
    <row r="10" spans="2:15">
      <c r="C10" t="s">
        <v>533</v>
      </c>
      <c r="D10">
        <f>COUNTIF(Hory!E:E,"1")</f>
        <v>9</v>
      </c>
      <c r="E10">
        <f>COUNTIF(Zavolej!E:E,"1")</f>
        <v>9</v>
      </c>
      <c r="F10">
        <f>COUNTIF(Ještě_jaro!E:E,"1")</f>
        <v>2</v>
      </c>
      <c r="G10">
        <f>COUNTIF(Ženy_na_ohnici!E:E,"1")</f>
        <v>11</v>
      </c>
      <c r="H10">
        <f>COUNTIF(Větroplach!E:E,"1")</f>
        <v>6</v>
      </c>
      <c r="I10">
        <f>COUNTIF(Na_hřbitově!E:E,"1")</f>
        <v>6</v>
      </c>
      <c r="J10">
        <f>COUNTIF(Rekonvalescent!E:E,"1")</f>
        <v>2</v>
      </c>
      <c r="K10">
        <f>COUNTIF(Píseň_o_studni!E:E,"1")</f>
        <v>11</v>
      </c>
      <c r="L10">
        <f>COUNTIF(Spáči_mluví_ze_sna!E:E,"1")</f>
        <v>0</v>
      </c>
      <c r="M10">
        <f>COUNTIF(Kvetoucí_mohyla!E:E,"1")</f>
        <v>12</v>
      </c>
      <c r="N10">
        <f>COUNTIF(Slunovrat!E:E,"1")</f>
        <v>9</v>
      </c>
      <c r="O10">
        <f>COUNTIF(Hromnice_hoří!E:E,"1")</f>
        <v>13</v>
      </c>
    </row>
    <row r="11" spans="2:15">
      <c r="C11" t="s">
        <v>534</v>
      </c>
      <c r="D11">
        <f>COUNTIF(Hory!E:E,"2")</f>
        <v>0</v>
      </c>
      <c r="E11">
        <f>COUNTIF(Zavolej!E:E,"2")</f>
        <v>0</v>
      </c>
      <c r="F11">
        <f>COUNTIF(Ještě_jaro!E:E,"2")</f>
        <v>0</v>
      </c>
      <c r="G11">
        <f>COUNTIF(Ženy_na_ohnici!E:E,"2")</f>
        <v>1</v>
      </c>
      <c r="H11">
        <f>COUNTIF(Větroplach!E:E,"2")</f>
        <v>0</v>
      </c>
      <c r="I11">
        <f>COUNTIF(Na_hřbitově!E:E,"2")</f>
        <v>1</v>
      </c>
      <c r="J11">
        <f>COUNTIF(Rekonvalescent!E:E,"2")</f>
        <v>0</v>
      </c>
      <c r="K11">
        <f>COUNTIF(Píseň_o_studni!E:E,"2")</f>
        <v>0</v>
      </c>
      <c r="L11">
        <f>COUNTIF(Spáči_mluví_ze_sna!E:E,"2")</f>
        <v>0</v>
      </c>
      <c r="M11">
        <f>COUNTIF(Kvetoucí_mohyla!E:E,"2")</f>
        <v>2</v>
      </c>
      <c r="N11">
        <f>COUNTIF(Slunovrat!E:E,"2")</f>
        <v>0</v>
      </c>
      <c r="O11">
        <f>COUNTIF(Hromnice_hoří!E:E,"2")</f>
        <v>1</v>
      </c>
    </row>
    <row r="12" spans="2:15">
      <c r="C12" t="s">
        <v>535</v>
      </c>
      <c r="D12">
        <f>COUNTIF(Hory!D:D,"M")</f>
        <v>10</v>
      </c>
      <c r="E12">
        <f>COUNTIF(Zavolej!$D:$D,"M")</f>
        <v>8</v>
      </c>
      <c r="F12">
        <f>COUNTIF(Ještě_jaro!$D:$D,"M")</f>
        <v>11</v>
      </c>
      <c r="G12">
        <f>COUNTIF(Ženy_na_ohnici!$D:$D,"M")</f>
        <v>12</v>
      </c>
      <c r="H12">
        <f>COUNTIF(Větroplach!$D:$D,"M")</f>
        <v>9</v>
      </c>
      <c r="I12">
        <f>COUNTIF(Na_hřbitově!$D:$D,"M")</f>
        <v>14</v>
      </c>
      <c r="J12">
        <f>COUNTIF(Rekonvalescent!$D:$D,"M")</f>
        <v>8</v>
      </c>
      <c r="K12">
        <f>COUNTIF(Píseň_o_studni!$D:$D,"M")</f>
        <v>9</v>
      </c>
      <c r="L12">
        <f>COUNTIF(Spáči_mluví_ze_sna!$D:$D,"M")</f>
        <v>16</v>
      </c>
      <c r="M12">
        <f>COUNTIF(Kvetoucí_mohyla!$D:$D,"M")</f>
        <v>15</v>
      </c>
      <c r="N12">
        <f>COUNTIF(Slunovrat!$D:$D,"M")</f>
        <v>9</v>
      </c>
      <c r="O12">
        <f>COUNTIF(Hromnice_hoří!$D:$D,"M")</f>
        <v>11</v>
      </c>
    </row>
    <row r="13" spans="2:15">
      <c r="B13" s="3"/>
      <c r="C13" t="s">
        <v>536</v>
      </c>
      <c r="D13">
        <f>COUNTIF(Hory!D:D,"Ž")</f>
        <v>13</v>
      </c>
      <c r="E13">
        <f>COUNTIF(Zavolej!$D:$D,"Ž")</f>
        <v>8</v>
      </c>
      <c r="F13">
        <f>COUNTIF(Ještě_jaro!$D:$D,"Ž")</f>
        <v>3</v>
      </c>
      <c r="G13">
        <f>COUNTIF(Ženy_na_ohnici!$D:$D,"Ž")</f>
        <v>15</v>
      </c>
      <c r="H13">
        <f>COUNTIF(Větroplach!$D:$D,"Ž")</f>
        <v>10</v>
      </c>
      <c r="I13">
        <f>COUNTIF(Na_hřbitově!$D:$D,"Ž")</f>
        <v>16</v>
      </c>
      <c r="J13">
        <f>COUNTIF(Rekonvalescent!$D:$D,"Ž")</f>
        <v>10</v>
      </c>
      <c r="K13">
        <f>COUNTIF(Píseň_o_studni!$D:$D,"Ž")</f>
        <v>10</v>
      </c>
      <c r="L13">
        <f>COUNTIF(Spáči_mluví_ze_sna!$D:$D,"Ž")</f>
        <v>1</v>
      </c>
      <c r="M13">
        <f>COUNTIF(Kvetoucí_mohyla!$D:$D,"Ž")</f>
        <v>16</v>
      </c>
      <c r="N13">
        <f>COUNTIF(Slunovrat!$D:$D,"Ž")</f>
        <v>14</v>
      </c>
      <c r="O13">
        <f>COUNTIF(Hromnice_hoří!$D:$D,"Ž")</f>
        <v>26</v>
      </c>
    </row>
    <row r="14" spans="2:15">
      <c r="B14" s="3"/>
      <c r="C14" t="s">
        <v>537</v>
      </c>
      <c r="D14">
        <f>COUNTIF(Hory!D:D,"A")</f>
        <v>1</v>
      </c>
      <c r="E14">
        <f>COUNTIF(Zavolej!$D:$D,"A")</f>
        <v>0</v>
      </c>
      <c r="F14">
        <f>COUNTIF(Ještě_jaro!$D:$D,"A")</f>
        <v>2</v>
      </c>
      <c r="G14">
        <f>COUNTIF(Ženy_na_ohnici!$D:$D,"A")</f>
        <v>1</v>
      </c>
      <c r="H14">
        <f>COUNTIF(Větroplach!$D:$D,"A")</f>
        <v>1</v>
      </c>
      <c r="I14">
        <f>COUNTIF(Na_hřbitově!$D:$D,"A")</f>
        <v>2</v>
      </c>
      <c r="J14">
        <f>COUNTIF(Rekonvalescent!$D:$D,"A")</f>
        <v>2</v>
      </c>
      <c r="K14">
        <f>COUNTIF(Píseň_o_studni!$D:$D,"A")</f>
        <v>1</v>
      </c>
      <c r="L14">
        <f>COUNTIF(Spáči_mluví_ze_sna!$D:$D,"A")</f>
        <v>3</v>
      </c>
      <c r="M14">
        <f>COUNTIF(Kvetoucí_mohyla!$D:$D,"A")</f>
        <v>1</v>
      </c>
      <c r="N14">
        <f>COUNTIF(Slunovrat!$D:$D,"A")</f>
        <v>1</v>
      </c>
      <c r="O14">
        <f>COUNTIF(Hromnice_hoří!$D:$D,"a")</f>
        <v>1</v>
      </c>
    </row>
    <row r="16" spans="2:15">
      <c r="D16" s="4"/>
      <c r="E16" s="4" t="s">
        <v>538</v>
      </c>
    </row>
    <row r="17" spans="3:19">
      <c r="C17" s="4" t="s">
        <v>44</v>
      </c>
      <c r="D17" s="4">
        <f t="shared" ref="D17:D22" si="0">SUM(D3:O3)</f>
        <v>231</v>
      </c>
      <c r="E17" s="6">
        <f>D17/$D$24</f>
        <v>0.79655172413793107</v>
      </c>
    </row>
    <row r="18" spans="3:19">
      <c r="C18" s="4" t="s">
        <v>71</v>
      </c>
      <c r="D18" s="4">
        <f t="shared" si="0"/>
        <v>6</v>
      </c>
      <c r="E18" s="6">
        <f t="shared" ref="E18:E22" si="1">D18/$D$24</f>
        <v>2.0689655172413793E-2</v>
      </c>
    </row>
    <row r="19" spans="3:19">
      <c r="C19" s="4" t="s">
        <v>193</v>
      </c>
      <c r="D19" s="4">
        <f t="shared" si="0"/>
        <v>4</v>
      </c>
      <c r="E19" s="6">
        <f t="shared" si="1"/>
        <v>1.3793103448275862E-2</v>
      </c>
    </row>
    <row r="20" spans="3:19">
      <c r="C20" s="4" t="s">
        <v>101</v>
      </c>
      <c r="D20" s="4">
        <f t="shared" si="0"/>
        <v>12</v>
      </c>
      <c r="E20" s="6">
        <f t="shared" si="1"/>
        <v>4.1379310344827586E-2</v>
      </c>
      <c r="S20" t="s">
        <v>538</v>
      </c>
    </row>
    <row r="21" spans="3:19">
      <c r="C21" s="4" t="s">
        <v>31</v>
      </c>
      <c r="D21" s="4">
        <f t="shared" si="0"/>
        <v>34</v>
      </c>
      <c r="E21" s="6">
        <f t="shared" si="1"/>
        <v>0.11724137931034483</v>
      </c>
      <c r="R21" t="s">
        <v>44</v>
      </c>
      <c r="S21" s="5">
        <v>0.79655172413793107</v>
      </c>
    </row>
    <row r="22" spans="3:19">
      <c r="C22" s="4" t="s">
        <v>136</v>
      </c>
      <c r="D22" s="4">
        <f t="shared" si="0"/>
        <v>3</v>
      </c>
      <c r="E22" s="6">
        <f t="shared" si="1"/>
        <v>1.0344827586206896E-2</v>
      </c>
      <c r="R22" t="s">
        <v>71</v>
      </c>
      <c r="S22" s="5">
        <v>2.0689655172413793E-2</v>
      </c>
    </row>
    <row r="23" spans="3:19">
      <c r="R23" t="s">
        <v>193</v>
      </c>
      <c r="S23" s="5">
        <v>1.3793103448275862E-2</v>
      </c>
    </row>
    <row r="24" spans="3:19">
      <c r="C24" s="1" t="s">
        <v>539</v>
      </c>
      <c r="D24" s="1">
        <f>SUM(D17:D22)</f>
        <v>290</v>
      </c>
      <c r="E24" s="3"/>
      <c r="R24" t="s">
        <v>101</v>
      </c>
      <c r="S24" s="5">
        <v>4.1379310344827586E-2</v>
      </c>
    </row>
    <row r="25" spans="3:19">
      <c r="R25" t="s">
        <v>31</v>
      </c>
      <c r="S25" s="5">
        <v>0.11724137931034483</v>
      </c>
    </row>
    <row r="26" spans="3:19">
      <c r="C26" s="4"/>
      <c r="D26" s="4"/>
      <c r="E26" s="4" t="s">
        <v>538</v>
      </c>
      <c r="R26" t="s">
        <v>136</v>
      </c>
      <c r="S26" s="5">
        <v>1.0344827586206896E-2</v>
      </c>
    </row>
    <row r="27" spans="3:19">
      <c r="C27" s="4" t="s">
        <v>540</v>
      </c>
      <c r="D27" s="4">
        <f>D17-D28-D29</f>
        <v>136</v>
      </c>
      <c r="E27" s="6">
        <f>D27/$D$17</f>
        <v>0.58874458874458879</v>
      </c>
    </row>
    <row r="28" spans="3:19">
      <c r="C28" s="4" t="s">
        <v>541</v>
      </c>
      <c r="D28" s="4">
        <f>SUM(D10:O10)</f>
        <v>90</v>
      </c>
      <c r="E28" s="6">
        <f t="shared" ref="E28:E29" si="2">D28/$D$17</f>
        <v>0.38961038961038963</v>
      </c>
    </row>
    <row r="29" spans="3:19">
      <c r="C29" s="4" t="s">
        <v>542</v>
      </c>
      <c r="D29" s="4">
        <f>SUM(D11:O11)</f>
        <v>5</v>
      </c>
      <c r="E29" s="6">
        <f t="shared" si="2"/>
        <v>2.1645021645021644E-2</v>
      </c>
    </row>
    <row r="31" spans="3:19">
      <c r="C31" s="4"/>
      <c r="D31" s="4"/>
      <c r="E31" s="4" t="s">
        <v>538</v>
      </c>
    </row>
    <row r="32" spans="3:19">
      <c r="C32" s="4" t="s">
        <v>543</v>
      </c>
      <c r="D32" s="4">
        <f>SUM(D12:O12)</f>
        <v>132</v>
      </c>
      <c r="E32" s="6">
        <f>D32/(SUM($D$32:$D$34))</f>
        <v>0.45517241379310347</v>
      </c>
    </row>
    <row r="33" spans="2:5">
      <c r="C33" s="4" t="s">
        <v>536</v>
      </c>
      <c r="D33" s="4">
        <f>SUM(D13:O13)</f>
        <v>142</v>
      </c>
      <c r="E33" s="6">
        <f>D33/(SUM($D$32:$D$34))</f>
        <v>0.48965517241379308</v>
      </c>
    </row>
    <row r="34" spans="2:5">
      <c r="B34" s="3"/>
      <c r="C34" s="4" t="s">
        <v>537</v>
      </c>
      <c r="D34" s="4">
        <f>SUM(D14:O14)</f>
        <v>16</v>
      </c>
      <c r="E34" s="6">
        <f>D34/(SUM($D$32:$D$34))</f>
        <v>5.5172413793103448E-2</v>
      </c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848D-C223-49F4-9A71-523706BC4968}">
  <dimension ref="B2:U67"/>
  <sheetViews>
    <sheetView workbookViewId="0">
      <selection activeCell="W6" sqref="W6"/>
    </sheetView>
  </sheetViews>
  <sheetFormatPr defaultRowHeight="14.45"/>
  <cols>
    <col min="2" max="2" width="16.28515625" bestFit="1" customWidth="1"/>
    <col min="3" max="3" width="23.7109375" customWidth="1"/>
    <col min="7" max="7" width="12.5703125" bestFit="1" customWidth="1"/>
    <col min="8" max="8" width="9.85546875" bestFit="1" customWidth="1"/>
    <col min="9" max="9" width="10.5703125" bestFit="1" customWidth="1"/>
    <col min="10" max="10" width="13.85546875" bestFit="1" customWidth="1"/>
    <col min="11" max="11" width="12.140625" bestFit="1" customWidth="1"/>
    <col min="12" max="12" width="15.5703125" bestFit="1" customWidth="1"/>
    <col min="13" max="13" width="9.85546875" bestFit="1" customWidth="1"/>
    <col min="14" max="14" width="13.85546875" bestFit="1" customWidth="1"/>
    <col min="15" max="15" width="12.5703125" bestFit="1" customWidth="1"/>
    <col min="19" max="19" width="23.5703125" bestFit="1" customWidth="1"/>
  </cols>
  <sheetData>
    <row r="2" spans="3:21">
      <c r="D2" t="s">
        <v>7</v>
      </c>
      <c r="E2" t="s">
        <v>104</v>
      </c>
      <c r="F2" t="s">
        <v>138</v>
      </c>
      <c r="G2" t="s">
        <v>169</v>
      </c>
      <c r="H2" t="s">
        <v>216</v>
      </c>
      <c r="I2" t="s">
        <v>244</v>
      </c>
      <c r="J2" t="s">
        <v>292</v>
      </c>
      <c r="K2" t="s">
        <v>320</v>
      </c>
      <c r="L2" t="s">
        <v>346</v>
      </c>
      <c r="M2" t="s">
        <v>216</v>
      </c>
      <c r="N2" t="s">
        <v>292</v>
      </c>
      <c r="O2" t="s">
        <v>464</v>
      </c>
      <c r="P2" t="s">
        <v>544</v>
      </c>
      <c r="S2" s="3" t="s">
        <v>545</v>
      </c>
      <c r="T2" t="s">
        <v>544</v>
      </c>
      <c r="U2" t="s">
        <v>538</v>
      </c>
    </row>
    <row r="3" spans="3:21">
      <c r="C3" t="s">
        <v>546</v>
      </c>
      <c r="D3">
        <f>COUNTIF(Hory!$G:$G,"J1Ž")</f>
        <v>0</v>
      </c>
      <c r="E3">
        <f>COUNTIF(Zavolej!$G:$G,"J1Ž")</f>
        <v>0</v>
      </c>
      <c r="F3">
        <f>COUNTIF(Ještě_jaro!$G:$G,"J1Ž")</f>
        <v>1</v>
      </c>
      <c r="G3">
        <f>COUNTIF(Ženy_na_ohnici!$G:$G,"J1Ž")</f>
        <v>0</v>
      </c>
      <c r="H3">
        <f>COUNTIF(Větroplach!$G:$G,"J1Ž")</f>
        <v>0</v>
      </c>
      <c r="I3">
        <f>COUNTIF(Na_hřbitově!$G:$G,"J1Ž")</f>
        <v>0</v>
      </c>
      <c r="J3">
        <f>COUNTIF(Rekonvalescent!$G:$G,"J1Ž")</f>
        <v>0</v>
      </c>
      <c r="K3">
        <f>COUNTIF(Píseň_o_studni!$G:$G,"J1Ž")</f>
        <v>0</v>
      </c>
      <c r="L3">
        <f>COUNTIF(Spáči_mluví_ze_sna!$G:$G,"J1Ž")</f>
        <v>0</v>
      </c>
      <c r="M3">
        <f>COUNTIF(Větroplach!$G:$G,"J1Ž")</f>
        <v>0</v>
      </c>
      <c r="N3">
        <f>COUNTIF(Rekonvalescent!$G:$G,"J1Ž")</f>
        <v>0</v>
      </c>
      <c r="O3">
        <f>COUNTIF(Hromnice_hoří!$G:$G,"J1Ž")</f>
        <v>0</v>
      </c>
      <c r="P3">
        <f t="shared" ref="P3:P16" si="0">SUM(D3:O3)</f>
        <v>1</v>
      </c>
      <c r="S3" t="s">
        <v>547</v>
      </c>
      <c r="T3">
        <f>P9</f>
        <v>82</v>
      </c>
      <c r="U3" s="5">
        <f t="shared" ref="U3:U28" si="1">T3/(SUM($T$3:$T$28))</f>
        <v>0.29927007299270075</v>
      </c>
    </row>
    <row r="4" spans="3:21">
      <c r="C4" t="s">
        <v>548</v>
      </c>
      <c r="D4">
        <f>COUNTIF(Hory!$G:$G,"J2M")</f>
        <v>0</v>
      </c>
      <c r="E4">
        <f>COUNTIF(Zavolej!$G:$G,"J2M")</f>
        <v>0</v>
      </c>
      <c r="F4">
        <f>COUNTIF(Ještě_jaro!$G:$G,"J2M")</f>
        <v>1</v>
      </c>
      <c r="G4">
        <f>COUNTIF(Ženy_na_ohnici!$G:$G,"J2M")</f>
        <v>0</v>
      </c>
      <c r="H4">
        <f>COUNTIF(Větroplach!$G:$G,"J2M")</f>
        <v>0</v>
      </c>
      <c r="I4">
        <f>COUNTIF(Na_hřbitově!$G:$G,"J2M")</f>
        <v>0</v>
      </c>
      <c r="J4">
        <f>COUNTIF(Rekonvalescent!$G:$G,"J2M")</f>
        <v>0</v>
      </c>
      <c r="K4">
        <f>COUNTIF(Píseň_o_studni!$G:$G,"J2M")</f>
        <v>0</v>
      </c>
      <c r="L4">
        <f>COUNTIF(Spáči_mluví_ze_sna!$G:$G,"J2M")</f>
        <v>0</v>
      </c>
      <c r="M4">
        <f>COUNTIF(Větroplach!$G:$G,"J2M")</f>
        <v>0</v>
      </c>
      <c r="N4">
        <f>COUNTIF(Rekonvalescent!$G:$G,"J2M")</f>
        <v>0</v>
      </c>
      <c r="O4">
        <f>COUNTIF(Hromnice_hoří!$G:$G,"J2M")</f>
        <v>0</v>
      </c>
      <c r="P4">
        <f t="shared" si="0"/>
        <v>1</v>
      </c>
      <c r="S4" t="s">
        <v>100</v>
      </c>
      <c r="T4">
        <f>P10</f>
        <v>57</v>
      </c>
      <c r="U4" s="5">
        <f t="shared" si="1"/>
        <v>0.20802919708029197</v>
      </c>
    </row>
    <row r="5" spans="3:21">
      <c r="C5" t="s">
        <v>549</v>
      </c>
      <c r="D5">
        <f>COUNTIF(Hory!$G:$G,"J2Ž")</f>
        <v>0</v>
      </c>
      <c r="E5">
        <f>COUNTIF(Zavolej!$G:$G,"J2Ž")</f>
        <v>0</v>
      </c>
      <c r="F5">
        <f>COUNTIF(Ještě_jaro!$G:$G,"J2Ž")</f>
        <v>1</v>
      </c>
      <c r="G5">
        <f>COUNTIF(Ženy_na_ohnici!$G:$G,"J2Ž")</f>
        <v>0</v>
      </c>
      <c r="H5">
        <f>COUNTIF(Větroplach!$G:$G,"J2Ž")</f>
        <v>0</v>
      </c>
      <c r="I5">
        <f>COUNTIF(Na_hřbitově!$G:$G,"J2Ž")</f>
        <v>0</v>
      </c>
      <c r="J5">
        <f>COUNTIF(Rekonvalescent!$G:$G,"J2Ž")</f>
        <v>0</v>
      </c>
      <c r="K5">
        <f>COUNTIF(Píseň_o_studni!$G:$G,"J2Ž")</f>
        <v>0</v>
      </c>
      <c r="L5">
        <f>COUNTIF(Spáči_mluví_ze_sna!$G:$G,"J2Ž")</f>
        <v>0</v>
      </c>
      <c r="M5">
        <f>COUNTIF(Větroplach!$G:$G,"J2Ž")</f>
        <v>0</v>
      </c>
      <c r="N5">
        <f>COUNTIF(Rekonvalescent!$G:$G,"J2Ž")</f>
        <v>0</v>
      </c>
      <c r="O5">
        <f>COUNTIF(Hromnice_hoří!$G:$G,"J2Ž")</f>
        <v>0</v>
      </c>
      <c r="P5">
        <f t="shared" si="0"/>
        <v>1</v>
      </c>
      <c r="S5" t="s">
        <v>550</v>
      </c>
      <c r="T5">
        <f>P14</f>
        <v>23</v>
      </c>
      <c r="U5" s="5">
        <f t="shared" si="1"/>
        <v>8.3941605839416053E-2</v>
      </c>
    </row>
    <row r="6" spans="3:21">
      <c r="C6" t="s">
        <v>551</v>
      </c>
      <c r="D6">
        <f>COUNTIF(Hory!$G:$G,"J3M")</f>
        <v>0</v>
      </c>
      <c r="E6">
        <f>COUNTIF(Zavolej!$G:$G,"J3M")</f>
        <v>1</v>
      </c>
      <c r="F6">
        <f>COUNTIF(Ještě_jaro!$G:$G,"J3M")</f>
        <v>1</v>
      </c>
      <c r="G6">
        <f>COUNTIF(Ženy_na_ohnici!$G:$G,"J3M")</f>
        <v>0</v>
      </c>
      <c r="H6">
        <f>COUNTIF(Větroplach!$G:$G,"J3M")</f>
        <v>0</v>
      </c>
      <c r="I6">
        <f>COUNTIF(Na_hřbitově!$G:$G,"J3M")</f>
        <v>0</v>
      </c>
      <c r="J6">
        <f>COUNTIF(Rekonvalescent!$G:$G,"J3M")</f>
        <v>0</v>
      </c>
      <c r="K6">
        <f>COUNTIF(Píseň_o_studni!$G:$G,"J3M")</f>
        <v>0</v>
      </c>
      <c r="L6">
        <f>COUNTIF(Spáči_mluví_ze_sna!$G:$G,"J3M")</f>
        <v>0</v>
      </c>
      <c r="M6">
        <f>COUNTIF(Větroplach!$G:$G,"J3M")</f>
        <v>0</v>
      </c>
      <c r="N6">
        <f>COUNTIF(Rekonvalescent!$G:$G,"J3M")</f>
        <v>0</v>
      </c>
      <c r="O6">
        <f>COUNTIF(Hromnice_hoří!$G:$G,"J3M")</f>
        <v>0</v>
      </c>
      <c r="P6">
        <f t="shared" si="0"/>
        <v>2</v>
      </c>
      <c r="S6" t="s">
        <v>552</v>
      </c>
      <c r="T6">
        <f>P13</f>
        <v>21</v>
      </c>
      <c r="U6" s="5">
        <f t="shared" si="1"/>
        <v>7.6642335766423361E-2</v>
      </c>
    </row>
    <row r="7" spans="3:21">
      <c r="C7" t="s">
        <v>553</v>
      </c>
      <c r="D7">
        <f>COUNTIF(Hory!$G:$G,"J4M")</f>
        <v>0</v>
      </c>
      <c r="E7">
        <f>COUNTIF(Zavolej!$G:$G,"J4M")</f>
        <v>2</v>
      </c>
      <c r="F7">
        <f>COUNTIF(Ještě_jaro!$G:$G,"J4M")</f>
        <v>0</v>
      </c>
      <c r="G7">
        <f>COUNTIF(Ženy_na_ohnici!$G:$G,"J4M")</f>
        <v>0</v>
      </c>
      <c r="H7">
        <f>COUNTIF(Větroplach!$G:$G,"J4M")</f>
        <v>0</v>
      </c>
      <c r="I7">
        <f>COUNTIF(Na_hřbitově!$G:$G,"J4M")</f>
        <v>0</v>
      </c>
      <c r="J7">
        <f>COUNTIF(Rekonvalescent!$G:$G,"J4M")</f>
        <v>0</v>
      </c>
      <c r="K7">
        <f>COUNTIF(Píseň_o_studni!$G:$G,"J4M")</f>
        <v>0</v>
      </c>
      <c r="L7">
        <f>COUNTIF(Spáči_mluví_ze_sna!$G:$G,"J4M")</f>
        <v>0</v>
      </c>
      <c r="M7">
        <f>COUNTIF(Větroplach!$G:$G,"J4M")</f>
        <v>0</v>
      </c>
      <c r="N7">
        <f>COUNTIF(Rekonvalescent!$G:$G,"J4M")</f>
        <v>0</v>
      </c>
      <c r="O7">
        <f>COUNTIF(Hromnice_hoří!$G:$G,"J4M")</f>
        <v>11</v>
      </c>
      <c r="P7">
        <f t="shared" si="0"/>
        <v>13</v>
      </c>
      <c r="S7" t="s">
        <v>554</v>
      </c>
      <c r="T7">
        <f>P8</f>
        <v>16</v>
      </c>
      <c r="U7" s="5">
        <f t="shared" si="1"/>
        <v>5.8394160583941604E-2</v>
      </c>
    </row>
    <row r="8" spans="3:21">
      <c r="C8" t="s">
        <v>554</v>
      </c>
      <c r="D8">
        <f>COUNTIF(Hory!$G:$G,"J4Ž")</f>
        <v>0</v>
      </c>
      <c r="E8">
        <f>COUNTIF(Zavolej!$G:$G,"J4Ž")</f>
        <v>0</v>
      </c>
      <c r="F8">
        <f>COUNTIF(Ještě_jaro!$G:$G,"J4Ž")</f>
        <v>0</v>
      </c>
      <c r="G8">
        <f>COUNTIF(Ženy_na_ohnici!$G:$G,"J4Ž")</f>
        <v>0</v>
      </c>
      <c r="H8">
        <f>COUNTIF(Větroplach!$G:$G,"J4Ž")</f>
        <v>0</v>
      </c>
      <c r="I8">
        <f>COUNTIF(Na_hřbitově!$G:$G,"J4Ž")</f>
        <v>0</v>
      </c>
      <c r="J8">
        <f>COUNTIF(Rekonvalescent!$G:$G,"J4Ž")</f>
        <v>0</v>
      </c>
      <c r="K8">
        <f>COUNTIF(Píseň_o_studni!$G:$G,"J4Ž")</f>
        <v>0</v>
      </c>
      <c r="L8">
        <f>COUNTIF(Spáči_mluví_ze_sna!$G:$G,"J4Ž")</f>
        <v>0</v>
      </c>
      <c r="M8">
        <f>COUNTIF(Větroplach!$G:$G,"J4Ž")</f>
        <v>0</v>
      </c>
      <c r="N8">
        <f>COUNTIF(Rekonvalescent!$G:$G,"J4Ž")</f>
        <v>0</v>
      </c>
      <c r="O8">
        <f>COUNTIF(Hromnice_hoří!$G:$G,"J4Ž")</f>
        <v>16</v>
      </c>
      <c r="P8">
        <f t="shared" si="0"/>
        <v>16</v>
      </c>
      <c r="S8" t="s">
        <v>553</v>
      </c>
      <c r="T8">
        <f>P7</f>
        <v>13</v>
      </c>
      <c r="U8" s="5">
        <f t="shared" si="1"/>
        <v>4.7445255474452552E-2</v>
      </c>
    </row>
    <row r="9" spans="3:21">
      <c r="C9" t="s">
        <v>547</v>
      </c>
      <c r="D9">
        <f>COUNTIF(Hory!$G:$G,"J5M")</f>
        <v>4</v>
      </c>
      <c r="E9">
        <f>COUNTIF(Zavolej!$G:$G,"J5M")</f>
        <v>5</v>
      </c>
      <c r="F9">
        <f>COUNTIF(Ještě_jaro!$G:$G,"J5M")</f>
        <v>3</v>
      </c>
      <c r="G9">
        <f>COUNTIF(Ženy_na_ohnici!$G:$G,"J5M")</f>
        <v>10</v>
      </c>
      <c r="H9">
        <f>COUNTIF(Větroplach!$G:$G,"J5M")</f>
        <v>8</v>
      </c>
      <c r="I9">
        <f>COUNTIF(Na_hřbitově!$G:$G,"J5M")</f>
        <v>13</v>
      </c>
      <c r="J9">
        <f>COUNTIF(Rekonvalescent!$G:$G,"J5M")</f>
        <v>7</v>
      </c>
      <c r="K9">
        <f>COUNTIF(Píseň_o_studni!$G:$G,"J5M")</f>
        <v>5</v>
      </c>
      <c r="L9">
        <f>COUNTIF(Spáči_mluví_ze_sna!$G:$G,"J5M")</f>
        <v>12</v>
      </c>
      <c r="M9">
        <f>COUNTIF(Větroplach!$G:$G,"J5M")</f>
        <v>8</v>
      </c>
      <c r="N9">
        <f>COUNTIF(Rekonvalescent!$G:$G,"J5M")</f>
        <v>7</v>
      </c>
      <c r="O9">
        <f>COUNTIF(Hromnice_hoří!$G:$G,"J5M")</f>
        <v>0</v>
      </c>
      <c r="P9">
        <f t="shared" si="0"/>
        <v>82</v>
      </c>
      <c r="S9" t="s">
        <v>551</v>
      </c>
      <c r="T9">
        <f>P6</f>
        <v>2</v>
      </c>
      <c r="U9" s="5">
        <f t="shared" si="1"/>
        <v>7.2992700729927005E-3</v>
      </c>
    </row>
    <row r="10" spans="3:21">
      <c r="C10" t="s">
        <v>100</v>
      </c>
      <c r="D10">
        <f>COUNTIF(Hory!$G:$G,"J5Ž")</f>
        <v>6</v>
      </c>
      <c r="E10">
        <f>COUNTIF(Zavolej!$G:$G,"J5Ž")</f>
        <v>6</v>
      </c>
      <c r="F10">
        <f>COUNTIF(Ještě_jaro!$G:$G,"J5Ž")</f>
        <v>0</v>
      </c>
      <c r="G10">
        <f>COUNTIF(Ženy_na_ohnici!$G:$G,"J5Ž")</f>
        <v>8</v>
      </c>
      <c r="H10">
        <f>COUNTIF(Větroplach!$G:$G,"J5Ž")</f>
        <v>4</v>
      </c>
      <c r="I10">
        <f>COUNTIF(Na_hřbitově!$G:$G,"J5Ž")</f>
        <v>12</v>
      </c>
      <c r="J10">
        <f>COUNTIF(Rekonvalescent!$G:$G,"J5Ž")</f>
        <v>5</v>
      </c>
      <c r="K10">
        <f>COUNTIF(Píseň_o_studni!$G:$G,"J5Ž")</f>
        <v>7</v>
      </c>
      <c r="L10">
        <f>COUNTIF(Spáči_mluví_ze_sna!$G:$G,"J5Ž")</f>
        <v>0</v>
      </c>
      <c r="M10">
        <f>COUNTIF(Větroplach!$G:$G,"J5Ž")</f>
        <v>4</v>
      </c>
      <c r="N10">
        <f>COUNTIF(Rekonvalescent!$G:$G,"J5Ž")</f>
        <v>5</v>
      </c>
      <c r="O10">
        <f>COUNTIF(Hromnice_hoří!$G:$G,"J5Ž")</f>
        <v>0</v>
      </c>
      <c r="P10">
        <f t="shared" si="0"/>
        <v>57</v>
      </c>
      <c r="S10" t="s">
        <v>555</v>
      </c>
      <c r="T10">
        <f>P11</f>
        <v>2</v>
      </c>
      <c r="U10" s="5">
        <f t="shared" si="1"/>
        <v>7.2992700729927005E-3</v>
      </c>
    </row>
    <row r="11" spans="3:21">
      <c r="C11" t="s">
        <v>555</v>
      </c>
      <c r="D11">
        <f>COUNTIF(Hory!$G:$G,"J6M")</f>
        <v>1</v>
      </c>
      <c r="E11">
        <f>COUNTIF(Zavolej!$G:$G,"J6M")</f>
        <v>0</v>
      </c>
      <c r="F11">
        <f>COUNTIF(Ještě_jaro!$G:$G,"J6M")</f>
        <v>1</v>
      </c>
      <c r="G11">
        <f>COUNTIF(Ženy_na_ohnici!$G:$G,"J6M")</f>
        <v>0</v>
      </c>
      <c r="H11">
        <f>COUNTIF(Větroplach!$G:$G,"J6M")</f>
        <v>0</v>
      </c>
      <c r="I11">
        <f>COUNTIF(Na_hřbitově!$G:$G,"J6M")</f>
        <v>0</v>
      </c>
      <c r="J11">
        <f>COUNTIF(Rekonvalescent!$G:$G,"J6M")</f>
        <v>0</v>
      </c>
      <c r="K11">
        <f>COUNTIF(Píseň_o_studni!$G:$G,"J6M")</f>
        <v>0</v>
      </c>
      <c r="L11">
        <f>COUNTIF(Spáči_mluví_ze_sna!$G:$G,"J6M")</f>
        <v>0</v>
      </c>
      <c r="M11">
        <f>COUNTIF(Větroplach!$G:$G,"J6M")</f>
        <v>0</v>
      </c>
      <c r="N11">
        <f>COUNTIF(Rekonvalescent!$G:$G,"J6M")</f>
        <v>0</v>
      </c>
      <c r="O11">
        <f>COUNTIF(Hromnice_hoří!$G:$G,"J6M")</f>
        <v>0</v>
      </c>
      <c r="P11">
        <f t="shared" si="0"/>
        <v>2</v>
      </c>
      <c r="S11" t="s">
        <v>556</v>
      </c>
      <c r="T11">
        <f>P12</f>
        <v>2</v>
      </c>
      <c r="U11" s="5">
        <f t="shared" si="1"/>
        <v>7.2992700729927005E-3</v>
      </c>
    </row>
    <row r="12" spans="3:21">
      <c r="C12" t="s">
        <v>556</v>
      </c>
      <c r="D12">
        <f>COUNTIF(Hory!$G:$G,"J6Ž")</f>
        <v>0</v>
      </c>
      <c r="E12">
        <f>COUNTIF(Zavolej!$G:$G,"J6Ž")</f>
        <v>0</v>
      </c>
      <c r="F12">
        <f>COUNTIF(Ještě_jaro!$G:$G,"J6Ž")</f>
        <v>0</v>
      </c>
      <c r="G12">
        <f>COUNTIF(Ženy_na_ohnici!$G:$G,"J6Ž")</f>
        <v>0</v>
      </c>
      <c r="H12">
        <f>COUNTIF(Větroplach!$G:$G,"J6Ž")</f>
        <v>0</v>
      </c>
      <c r="I12">
        <f>COUNTIF(Na_hřbitově!$G:$G,"J6Ž")</f>
        <v>0</v>
      </c>
      <c r="J12">
        <f>COUNTIF(Rekonvalescent!$G:$G,"J6Ž")</f>
        <v>1</v>
      </c>
      <c r="K12">
        <f>COUNTIF(Píseň_o_studni!$G:$G,"J6Ž")</f>
        <v>0</v>
      </c>
      <c r="L12">
        <f>COUNTIF(Spáči_mluví_ze_sna!$G:$G,"J6Ž")</f>
        <v>0</v>
      </c>
      <c r="M12">
        <f>COUNTIF(Větroplach!$G:$G,"J6Ž")</f>
        <v>0</v>
      </c>
      <c r="N12">
        <f>COUNTIF(Rekonvalescent!$G:$G,"J6Ž")</f>
        <v>1</v>
      </c>
      <c r="O12">
        <f>COUNTIF(Hromnice_hoří!$G:$G,"J6Ž")</f>
        <v>0</v>
      </c>
      <c r="P12">
        <f t="shared" si="0"/>
        <v>2</v>
      </c>
      <c r="S12" t="s">
        <v>557</v>
      </c>
      <c r="T12">
        <f>P15</f>
        <v>2</v>
      </c>
      <c r="U12" s="5">
        <f t="shared" si="1"/>
        <v>7.2992700729927005E-3</v>
      </c>
    </row>
    <row r="13" spans="3:21">
      <c r="C13" t="s">
        <v>552</v>
      </c>
      <c r="D13">
        <f>COUNTIF(Hory!$I:$I,"alexandrínmužský")</f>
        <v>5</v>
      </c>
      <c r="E13">
        <f>COUNTIF(Zavolej!$I:$I,"alexandrínmužský")</f>
        <v>0</v>
      </c>
      <c r="F13">
        <f>COUNTIF(Ještě_jaro!$I:$I,"alexandrínmužský")</f>
        <v>2</v>
      </c>
      <c r="G13">
        <f>COUNTIF(Ženy_na_ohnici!$I:$I,"alexandrínmužský")</f>
        <v>2</v>
      </c>
      <c r="H13">
        <f>COUNTIF(Větroplach!$I:$I,"alexandrínmužský")</f>
        <v>1</v>
      </c>
      <c r="I13">
        <f>COUNTIF(Na_hřbitově!$I:$I,"alexandrínmužský")</f>
        <v>1</v>
      </c>
      <c r="J13">
        <f>COUNTIF(Rekonvalescent!$I:$I,"alexandrínmužský")</f>
        <v>1</v>
      </c>
      <c r="K13">
        <f>COUNTIF(Píseň_o_studni!$I:$I,"alexandrínmužský")</f>
        <v>4</v>
      </c>
      <c r="L13">
        <f>COUNTIF(Spáči_mluví_ze_sna!$I:$I,"alexandrínmužský")</f>
        <v>3</v>
      </c>
      <c r="M13">
        <f>COUNTIF(Větroplach!$I:$I,"alexandrínmužský")</f>
        <v>1</v>
      </c>
      <c r="N13">
        <f>COUNTIF(Rekonvalescent!$I:$I,"alexandrínmužský")</f>
        <v>1</v>
      </c>
      <c r="O13">
        <f>COUNTIF(Hromnice_hoří!$I:$I,"alexandrínmužský")</f>
        <v>0</v>
      </c>
      <c r="P13">
        <f t="shared" si="0"/>
        <v>21</v>
      </c>
      <c r="S13" t="s">
        <v>558</v>
      </c>
      <c r="T13">
        <f>P16</f>
        <v>4</v>
      </c>
      <c r="U13" s="5">
        <f t="shared" si="1"/>
        <v>1.4598540145985401E-2</v>
      </c>
    </row>
    <row r="14" spans="3:21">
      <c r="C14" t="s">
        <v>550</v>
      </c>
      <c r="D14">
        <f>COUNTIF(Hory!$I:$I,"alexandrínženský")</f>
        <v>0</v>
      </c>
      <c r="E14">
        <f>COUNTIF(Zavolej!$I:$I,"alexandrínženský")</f>
        <v>0</v>
      </c>
      <c r="F14">
        <f>COUNTIF(Ještě_jaro!$I:$I,"alexandrínženský")</f>
        <v>1</v>
      </c>
      <c r="G14">
        <f>COUNTIF(Ženy_na_ohnici!$I:$I,"alexandrínženský")</f>
        <v>0</v>
      </c>
      <c r="H14">
        <f>COUNTIF(Větroplach!$I:$I,"alexandrínženský")</f>
        <v>5</v>
      </c>
      <c r="I14">
        <f>COUNTIF(Na_hřbitově!$I:$I,"alexandrínženský")</f>
        <v>3</v>
      </c>
      <c r="J14">
        <f>COUNTIF(Rekonvalescent!$I:$I,"alexandrínženský")</f>
        <v>3</v>
      </c>
      <c r="K14">
        <f>COUNTIF(Píseň_o_studni!$I:$I,"alexandrínženský")</f>
        <v>3</v>
      </c>
      <c r="L14">
        <f>COUNTIF(Spáči_mluví_ze_sna!$I:$I,"alexandrínženský")</f>
        <v>0</v>
      </c>
      <c r="M14">
        <f>COUNTIF(Větroplach!$I:$I,"alexandrínženský")</f>
        <v>5</v>
      </c>
      <c r="N14">
        <f>COUNTIF(Rekonvalescent!$I:$I,"alexandrínženský")</f>
        <v>3</v>
      </c>
      <c r="O14">
        <f>COUNTIF(Hromnice_hoří!$I:$I,"alexandrínženský")</f>
        <v>0</v>
      </c>
      <c r="P14">
        <f t="shared" si="0"/>
        <v>23</v>
      </c>
      <c r="S14" t="s">
        <v>546</v>
      </c>
      <c r="T14">
        <f>P3</f>
        <v>1</v>
      </c>
      <c r="U14" s="5">
        <f t="shared" si="1"/>
        <v>3.6496350364963502E-3</v>
      </c>
    </row>
    <row r="15" spans="3:21">
      <c r="C15" t="s">
        <v>557</v>
      </c>
      <c r="D15">
        <f>COUNTIF(Hory!$G:$G,"T5M")</f>
        <v>0</v>
      </c>
      <c r="E15">
        <f>COUNTIF(Zavolej!$G:$G,"T5M")</f>
        <v>0</v>
      </c>
      <c r="F15">
        <f>COUNTIF(Ještě_jaro!$G:$G,"T5M")</f>
        <v>2</v>
      </c>
      <c r="G15">
        <f>COUNTIF(Ženy_na_ohnici!$G:$G,"T5M")</f>
        <v>0</v>
      </c>
      <c r="H15">
        <f>COUNTIF(Větroplach!$G:$G,"T5M")</f>
        <v>0</v>
      </c>
      <c r="I15">
        <f>COUNTIF(Na_hřbitově!$G:$G,"T5M")</f>
        <v>0</v>
      </c>
      <c r="J15">
        <f>COUNTIF(Rekonvalescent!$G:$G,"T5M")</f>
        <v>0</v>
      </c>
      <c r="K15">
        <f>COUNTIF(Píseň_o_studni!$G:$G,"T5M")</f>
        <v>0</v>
      </c>
      <c r="L15">
        <f>COUNTIF(Spáči_mluví_ze_sna!$G:$G,"T5M")</f>
        <v>0</v>
      </c>
      <c r="M15">
        <f>COUNTIF(Větroplach!$G:$G,"T5M")</f>
        <v>0</v>
      </c>
      <c r="N15">
        <f>COUNTIF(Rekonvalescent!$G:$G,"T5M")</f>
        <v>0</v>
      </c>
      <c r="O15">
        <f>COUNTIF(Hromnice_hoří!$G:$G,"T5M")</f>
        <v>0</v>
      </c>
      <c r="P15">
        <f t="shared" si="0"/>
        <v>2</v>
      </c>
      <c r="S15" t="s">
        <v>548</v>
      </c>
      <c r="T15">
        <f>P4</f>
        <v>1</v>
      </c>
      <c r="U15" s="5">
        <f t="shared" si="1"/>
        <v>3.6496350364963502E-3</v>
      </c>
    </row>
    <row r="16" spans="3:21">
      <c r="C16" t="s">
        <v>558</v>
      </c>
      <c r="D16">
        <f>COUNTIF(Hory!$G:$G,"T5Ž")</f>
        <v>1</v>
      </c>
      <c r="E16">
        <f>COUNTIF(Zavolej!$G:$G,"T5Ž")</f>
        <v>0</v>
      </c>
      <c r="F16">
        <f>COUNTIF(Ještě_jaro!$G:$G,"T5Ž")</f>
        <v>0</v>
      </c>
      <c r="G16">
        <f>COUNTIF(Ženy_na_ohnici!$G:$G,"T5Ž")</f>
        <v>0</v>
      </c>
      <c r="H16">
        <f>COUNTIF(Větroplach!$G:$G,"T5Ž")</f>
        <v>0</v>
      </c>
      <c r="I16">
        <f>COUNTIF(Na_hřbitově!$G:$G,"T5Ž")</f>
        <v>0</v>
      </c>
      <c r="J16">
        <f>COUNTIF(Rekonvalescent!$G:$G,"T5Ž")</f>
        <v>0</v>
      </c>
      <c r="K16">
        <f>COUNTIF(Píseň_o_studni!$G:$G,"T5Ž")</f>
        <v>0</v>
      </c>
      <c r="L16">
        <f>COUNTIF(Spáči_mluví_ze_sna!$G:$G,"T5Ž")</f>
        <v>1</v>
      </c>
      <c r="M16">
        <f>COUNTIF(Větroplach!$G:$G,"T5Ž")</f>
        <v>0</v>
      </c>
      <c r="N16">
        <f>COUNTIF(Rekonvalescent!$G:$G,"T5Ž")</f>
        <v>0</v>
      </c>
      <c r="O16">
        <f>COUNTIF(Hromnice_hoří!$G:$G,"T5Ž")</f>
        <v>2</v>
      </c>
      <c r="P16">
        <f t="shared" si="0"/>
        <v>4</v>
      </c>
      <c r="S16" t="s">
        <v>549</v>
      </c>
      <c r="T16">
        <f>P5</f>
        <v>1</v>
      </c>
      <c r="U16" s="5">
        <f t="shared" si="1"/>
        <v>3.6496350364963502E-3</v>
      </c>
    </row>
    <row r="17" spans="2:21">
      <c r="C17" t="s">
        <v>559</v>
      </c>
      <c r="D17">
        <f>COUNTIF(Hory!$G:$G,"D3A")</f>
        <v>0</v>
      </c>
      <c r="E17">
        <f>COUNTIF(Zavolej!$G:$G,"D3A")</f>
        <v>0</v>
      </c>
      <c r="F17">
        <f>COUNTIF(Ještě_jaro!$G:$G,"D3A")</f>
        <v>0</v>
      </c>
      <c r="G17">
        <f>COUNTIF(Ženy_na_ohnici!$G:$G,"D3A")</f>
        <v>0</v>
      </c>
      <c r="H17">
        <f>COUNTIF(Větroplach!$G:$G,"D3A")</f>
        <v>0</v>
      </c>
      <c r="I17">
        <f>COUNTIF(Na_hřbitově!$G:$G,"D3A")</f>
        <v>0</v>
      </c>
      <c r="J17">
        <f>COUNTIF(Rekonvalescent!$G:$G,"D3A")</f>
        <v>0</v>
      </c>
      <c r="K17">
        <f>COUNTIF(Píseň_o_studni!$G:$G,"D3A")</f>
        <v>0</v>
      </c>
      <c r="L17">
        <f>COUNTIF(Spáči_mluví_ze_sna!$G:$G,"D3A")</f>
        <v>0</v>
      </c>
      <c r="M17">
        <f>COUNTIF(Větroplach!$G:$G,"D3A")</f>
        <v>0</v>
      </c>
      <c r="N17">
        <f>COUNTIF(Rekonvalescent!$G:$G,"D3A")</f>
        <v>0</v>
      </c>
      <c r="O17">
        <f>COUNTIF(Hromnice_hoří!$G:$G,"D3A")</f>
        <v>1</v>
      </c>
      <c r="P17">
        <f t="shared" ref="P17" si="2">SUM(D17:O17)</f>
        <v>1</v>
      </c>
      <c r="S17" t="s">
        <v>560</v>
      </c>
      <c r="T17">
        <f>SUM(P21)</f>
        <v>1</v>
      </c>
      <c r="U17" s="5">
        <f t="shared" si="1"/>
        <v>3.6496350364963502E-3</v>
      </c>
    </row>
    <row r="18" spans="2:21">
      <c r="C18" t="s">
        <v>561</v>
      </c>
      <c r="D18">
        <f>COUNTIF(Hory!$G:$G,"D4Ž")</f>
        <v>0</v>
      </c>
      <c r="E18">
        <f>COUNTIF(Zavolej!$G:$G,"D4Ž")</f>
        <v>0</v>
      </c>
      <c r="F18">
        <f>COUNTIF(Ještě_jaro!$G:$G,"D4Ž")</f>
        <v>0</v>
      </c>
      <c r="G18">
        <f>COUNTIF(Ženy_na_ohnici!$G:$G,"D4Ž")</f>
        <v>2</v>
      </c>
      <c r="H18">
        <f>COUNTIF(Větroplach!$G:$G,"D4Ž")</f>
        <v>0</v>
      </c>
      <c r="I18">
        <f>COUNTIF(Na_hřbitově!$G:$G,"D4Ž")</f>
        <v>0</v>
      </c>
      <c r="J18">
        <f>COUNTIF(Rekonvalescent!$G:$G,"D4Ž")</f>
        <v>0</v>
      </c>
      <c r="K18">
        <f>COUNTIF(Píseň_o_studni!$G:$G,"D4Ž")</f>
        <v>0</v>
      </c>
      <c r="L18">
        <f>COUNTIF(Spáči_mluví_ze_sna!$G:$G,"D4Ž")</f>
        <v>0</v>
      </c>
      <c r="M18">
        <f>COUNTIF(Větroplach!$G:$G,"D4Ž")</f>
        <v>0</v>
      </c>
      <c r="N18">
        <f>COUNTIF(Rekonvalescent!$G:$G,"D4Ž")</f>
        <v>0</v>
      </c>
      <c r="O18">
        <f>COUNTIF(Hromnice_hoří!$G:$G,"D4Ž")</f>
        <v>0</v>
      </c>
      <c r="P18">
        <f t="shared" ref="P18" si="3">SUM(D18:O18)</f>
        <v>2</v>
      </c>
      <c r="S18" t="s">
        <v>562</v>
      </c>
      <c r="T18">
        <f>P22+P25+P26</f>
        <v>1</v>
      </c>
      <c r="U18" s="5">
        <f t="shared" si="1"/>
        <v>3.6496350364963502E-3</v>
      </c>
    </row>
    <row r="19" spans="2:21">
      <c r="C19" t="s">
        <v>291</v>
      </c>
      <c r="D19">
        <f>COUNTIF(Hory!$G:$G,"pD3A")</f>
        <v>1</v>
      </c>
      <c r="E19">
        <f>COUNTIF(Zavolej!$G:$G,"pD3A")</f>
        <v>0</v>
      </c>
      <c r="F19">
        <f>COUNTIF(Ještě_jaro!$G:$G,"pD3A")</f>
        <v>2</v>
      </c>
      <c r="G19">
        <f>COUNTIF(Ženy_na_ohnici!$G:$G,"pD3A")</f>
        <v>0</v>
      </c>
      <c r="H19">
        <f>COUNTIF(Větroplach!$G:$G,"pD3A")</f>
        <v>1</v>
      </c>
      <c r="I19">
        <f>COUNTIF(Na_hřbitově!$G:$G,"pD3A")</f>
        <v>1</v>
      </c>
      <c r="J19">
        <f>COUNTIF(Rekonvalescent!$G:$G,"pD3A")</f>
        <v>2</v>
      </c>
      <c r="K19">
        <f>COUNTIF(Píseň_o_studni!$G:$G,"pD3A")</f>
        <v>1</v>
      </c>
      <c r="L19">
        <f>COUNTIF(Spáči_mluví_ze_sna!$G:$G,"pD3A")</f>
        <v>3</v>
      </c>
      <c r="M19">
        <f>COUNTIF(Větroplach!$G:$G,"pD3A")</f>
        <v>1</v>
      </c>
      <c r="N19">
        <f>COUNTIF(Rekonvalescent!$G:$G,"pD3A")</f>
        <v>2</v>
      </c>
      <c r="O19">
        <f>COUNTIF(Hromnice_hoří!$G:$G,"pD3A")</f>
        <v>0</v>
      </c>
      <c r="P19">
        <f t="shared" ref="P19:P20" si="4">SUM(D19:O19)</f>
        <v>14</v>
      </c>
      <c r="S19" t="s">
        <v>563</v>
      </c>
      <c r="T19">
        <f>P23+P24+P27</f>
        <v>10</v>
      </c>
      <c r="U19" s="5">
        <f t="shared" si="1"/>
        <v>3.6496350364963501E-2</v>
      </c>
    </row>
    <row r="20" spans="2:21">
      <c r="B20" t="s">
        <v>564</v>
      </c>
      <c r="C20" t="s">
        <v>565</v>
      </c>
      <c r="D20">
        <f>COUNTIF(Hory!$G:$G,"pD4A")</f>
        <v>0</v>
      </c>
      <c r="E20">
        <f>COUNTIF(Zavolej!$G:$G,"pD4A")</f>
        <v>0</v>
      </c>
      <c r="F20">
        <f>COUNTIF(Ještě_jaro!$G:$G,"pD4A")</f>
        <v>0</v>
      </c>
      <c r="G20">
        <f>COUNTIF(Ženy_na_ohnici!$G:$G,"pD4A")</f>
        <v>0</v>
      </c>
      <c r="H20">
        <f>COUNTIF(Větroplach!$G:$G,"pD4A")</f>
        <v>0</v>
      </c>
      <c r="I20">
        <f>COUNTIF(Na_hřbitově!$G:$G,"pD4A")</f>
        <v>1</v>
      </c>
      <c r="J20">
        <f>COUNTIF(Rekonvalescent!$G:$G,"pD4A")</f>
        <v>0</v>
      </c>
      <c r="K20">
        <f>COUNTIF(Píseň_o_studni!$G:$G,"pD4A")</f>
        <v>0</v>
      </c>
      <c r="L20">
        <f>COUNTIF(Spáči_mluví_ze_sna!$G:$G,"pD4A")</f>
        <v>0</v>
      </c>
      <c r="M20">
        <f>COUNTIF(Větroplach!$G:$G,"pD4A")</f>
        <v>0</v>
      </c>
      <c r="N20">
        <f>COUNTIF(Rekonvalescent!$G:$G,"pD4A")</f>
        <v>0</v>
      </c>
      <c r="O20">
        <f>COUNTIF(Hromnice_hoří!$G:$G,"pD4A")</f>
        <v>0</v>
      </c>
      <c r="P20">
        <f t="shared" si="4"/>
        <v>1</v>
      </c>
      <c r="S20" t="s">
        <v>566</v>
      </c>
      <c r="T20">
        <f>P28+P29+P30+P31+P32+P34+P35+P36+P37</f>
        <v>14</v>
      </c>
      <c r="U20" s="5">
        <f t="shared" si="1"/>
        <v>5.1094890510948905E-2</v>
      </c>
    </row>
    <row r="21" spans="2:21">
      <c r="B21" t="s">
        <v>560</v>
      </c>
      <c r="C21" t="s">
        <v>168</v>
      </c>
      <c r="D21">
        <f>COUNTIF(Hory!$G:$G,"TDDM")</f>
        <v>0</v>
      </c>
      <c r="E21">
        <f>COUNTIF(Zavolej!$G:$G,"TDDM")</f>
        <v>0</v>
      </c>
      <c r="F21">
        <f>COUNTIF(Ještě_jaro!$G:$G,"TDDM")</f>
        <v>1</v>
      </c>
      <c r="G21">
        <f>COUNTIF(Ženy_na_ohnici!$G:$G,"TDDM")</f>
        <v>0</v>
      </c>
      <c r="H21">
        <f>COUNTIF(Větroplach!$G:$G,"TDDM")</f>
        <v>0</v>
      </c>
      <c r="I21">
        <f>COUNTIF(Na_hřbitově!$G:$G,"TDDM")</f>
        <v>0</v>
      </c>
      <c r="J21">
        <f>COUNTIF(Rekonvalescent!$G:$G,"TDDM")</f>
        <v>0</v>
      </c>
      <c r="K21">
        <f>COUNTIF(Píseň_o_studni!$G:$G,"TDDM")</f>
        <v>0</v>
      </c>
      <c r="L21">
        <f>COUNTIF(Spáči_mluví_ze_sna!$G:$G,"TDDM")</f>
        <v>0</v>
      </c>
      <c r="M21">
        <f>COUNTIF(Větroplach!$G:$G,"TDDM")</f>
        <v>0</v>
      </c>
      <c r="N21">
        <f>COUNTIF(Rekonvalescent!$G:$G,"TDDM")</f>
        <v>0</v>
      </c>
      <c r="O21">
        <f>COUNTIF(Hromnice_hoří!$G:$G,"TDDM")</f>
        <v>0</v>
      </c>
      <c r="P21">
        <f t="shared" ref="P21" si="5">SUM(D21:O21)</f>
        <v>1</v>
      </c>
      <c r="S21" t="s">
        <v>567</v>
      </c>
      <c r="T21">
        <f>SUM(P33)</f>
        <v>0</v>
      </c>
      <c r="U21" s="5">
        <f t="shared" si="1"/>
        <v>0</v>
      </c>
    </row>
    <row r="22" spans="2:21">
      <c r="B22" t="s">
        <v>562</v>
      </c>
      <c r="C22" t="s">
        <v>211</v>
      </c>
      <c r="D22">
        <f>COUNTIF(Hory!$G:$G,"TTDDA")</f>
        <v>0</v>
      </c>
      <c r="E22">
        <f>COUNTIF(Zavolej!$G:$G,"TTDDA")</f>
        <v>0</v>
      </c>
      <c r="F22">
        <f>COUNTIF(Ještě_jaro!$G:$G,"TTDDA")</f>
        <v>0</v>
      </c>
      <c r="G22">
        <f>COUNTIF(Ženy_na_ohnici!$G:$G,"TTDDA")</f>
        <v>1</v>
      </c>
      <c r="H22">
        <f>COUNTIF(Větroplach!$G:$G,"TTDDA")</f>
        <v>0</v>
      </c>
      <c r="I22">
        <f>COUNTIF(Na_hřbitově!$G:$G,"TTDDA")</f>
        <v>0</v>
      </c>
      <c r="J22">
        <f>COUNTIF(Rekonvalescent!$G:$G,"TTDDA")</f>
        <v>0</v>
      </c>
      <c r="K22">
        <f>COUNTIF(Píseň_o_studni!$G:$G,"TTDDA")</f>
        <v>0</v>
      </c>
      <c r="L22">
        <f>COUNTIF(Spáči_mluví_ze_sna!$G:$G,"TTDDA")</f>
        <v>0</v>
      </c>
      <c r="M22">
        <f>COUNTIF(Větroplach!$G:$G,"TTDDA")</f>
        <v>0</v>
      </c>
      <c r="N22">
        <f>COUNTIF(Rekonvalescent!$G:$G,"TTDDA")</f>
        <v>0</v>
      </c>
      <c r="O22">
        <f>COUNTIF(Hromnice_hoří!$G:$G,"TTDDA")</f>
        <v>0</v>
      </c>
      <c r="P22">
        <f t="shared" ref="P22" si="6">SUM(D22:O22)</f>
        <v>1</v>
      </c>
      <c r="S22" t="s">
        <v>568</v>
      </c>
      <c r="T22">
        <f>SUM(P38)</f>
        <v>1</v>
      </c>
      <c r="U22" s="5">
        <f t="shared" si="1"/>
        <v>3.6496350364963502E-3</v>
      </c>
    </row>
    <row r="23" spans="2:21">
      <c r="B23" t="s">
        <v>563</v>
      </c>
      <c r="C23" t="s">
        <v>526</v>
      </c>
      <c r="D23">
        <f>COUNTIF(Hory!$G:$G,"TDDTŽ")</f>
        <v>0</v>
      </c>
      <c r="E23">
        <f>COUNTIF(Zavolej!$G:$G,"TDDTŽ")</f>
        <v>0</v>
      </c>
      <c r="F23">
        <f>COUNTIF(Ještě_jaro!$G:$G,"TDDTŽ")</f>
        <v>0</v>
      </c>
      <c r="G23">
        <f>COUNTIF(Ženy_na_ohnici!$G:$G,"TDDTŽ")</f>
        <v>0</v>
      </c>
      <c r="H23">
        <f>COUNTIF(Větroplach!$G:$G,"TDDTŽ")</f>
        <v>0</v>
      </c>
      <c r="I23">
        <f>COUNTIF(Na_hřbitově!$G:$G,"TDDTŽ")</f>
        <v>0</v>
      </c>
      <c r="J23">
        <f>COUNTIF(Rekonvalescent!$G:$G,"TDDTŽ")</f>
        <v>0</v>
      </c>
      <c r="K23">
        <f>COUNTIF(Píseň_o_studni!$G:$G,"TDDTŽ")</f>
        <v>0</v>
      </c>
      <c r="L23">
        <f>COUNTIF(Spáči_mluví_ze_sna!$G:$G,"TDDTŽ")</f>
        <v>0</v>
      </c>
      <c r="M23">
        <f>COUNTIF(Větroplach!$G:$G,"TDDTŽ")</f>
        <v>0</v>
      </c>
      <c r="N23">
        <f>COUNTIF(Rekonvalescent!$G:$G,"TDDTŽ")</f>
        <v>0</v>
      </c>
      <c r="O23">
        <f>COUNTIF(Hromnice_hoří!$G:$G,"TDDTŽ")</f>
        <v>1</v>
      </c>
      <c r="P23">
        <f t="shared" ref="P23" si="7">SUM(D23:O23)</f>
        <v>1</v>
      </c>
      <c r="S23" t="s">
        <v>569</v>
      </c>
      <c r="T23">
        <f>SUM(P39)</f>
        <v>1</v>
      </c>
      <c r="U23" s="5">
        <f t="shared" si="1"/>
        <v>3.6496350364963502E-3</v>
      </c>
    </row>
    <row r="24" spans="2:21">
      <c r="B24" t="s">
        <v>563</v>
      </c>
      <c r="C24" t="s">
        <v>465</v>
      </c>
      <c r="D24">
        <f>COUNTIF(Hory!$G:$G,"DDTTŽ")</f>
        <v>0</v>
      </c>
      <c r="E24">
        <f>COUNTIF(Zavolej!$G:$G,"DDTTŽ")</f>
        <v>0</v>
      </c>
      <c r="F24">
        <f>COUNTIF(Ještě_jaro!$G:$G,"DDTTŽ")</f>
        <v>0</v>
      </c>
      <c r="G24">
        <f>COUNTIF(Ženy_na_ohnici!$G:$G,"DDTTŽ")</f>
        <v>0</v>
      </c>
      <c r="H24">
        <f>COUNTIF(Větroplach!$G:$G,"DDTTŽ")</f>
        <v>0</v>
      </c>
      <c r="I24">
        <f>COUNTIF(Na_hřbitově!$G:$G,"DDTTŽ")</f>
        <v>0</v>
      </c>
      <c r="J24">
        <f>COUNTIF(Rekonvalescent!$G:$G,"DDTTŽ")</f>
        <v>0</v>
      </c>
      <c r="K24">
        <f>COUNTIF(Píseň_o_studni!$G:$G,"DDTTŽ")</f>
        <v>0</v>
      </c>
      <c r="L24">
        <f>COUNTIF(Spáči_mluví_ze_sna!$G:$G,"DDTTŽ")</f>
        <v>0</v>
      </c>
      <c r="M24">
        <f>COUNTIF(Větroplach!$G:$G,"DDTTŽ")</f>
        <v>0</v>
      </c>
      <c r="N24">
        <f>COUNTIF(Rekonvalescent!$G:$G,"DDTTŽ")</f>
        <v>0</v>
      </c>
      <c r="O24">
        <f>COUNTIF(Hromnice_hoří!$G:$G,"DDTTŽ")</f>
        <v>6</v>
      </c>
      <c r="P24">
        <f t="shared" ref="P24" si="8">SUM(D24:O24)</f>
        <v>6</v>
      </c>
      <c r="S24" t="s">
        <v>570</v>
      </c>
      <c r="T24">
        <f>SUM(P40)</f>
        <v>1</v>
      </c>
      <c r="U24" s="5">
        <f t="shared" si="1"/>
        <v>3.6496350364963502E-3</v>
      </c>
    </row>
    <row r="25" spans="2:21">
      <c r="B25" t="s">
        <v>562</v>
      </c>
      <c r="C25" t="s">
        <v>420</v>
      </c>
      <c r="D25">
        <f>COUNTIF(Hory!$G:$G,"DTDDA")</f>
        <v>0</v>
      </c>
      <c r="E25">
        <f>COUNTIF(Zavolej!$G:$G,"DTDDA")</f>
        <v>0</v>
      </c>
      <c r="F25">
        <f>COUNTIF(Ještě_jaro!$G:$G,"DTDDA")</f>
        <v>0</v>
      </c>
      <c r="G25">
        <f>COUNTIF(Ženy_na_ohnici!$G:$G,"DTDDA")</f>
        <v>0</v>
      </c>
      <c r="H25">
        <f>COUNTIF(Větroplach!$G:$G,"DTDDA")</f>
        <v>0</v>
      </c>
      <c r="I25">
        <f>COUNTIF(Na_hřbitově!$G:$G,"DTDDA")</f>
        <v>0</v>
      </c>
      <c r="J25">
        <f>COUNTIF(Rekonvalescent!$G:$G,"DTDDA")</f>
        <v>0</v>
      </c>
      <c r="K25">
        <f>COUNTIF(Píseň_o_studni!$G:$G,"DTDDA")</f>
        <v>0</v>
      </c>
      <c r="L25">
        <f>COUNTIF(Spáči_mluví_ze_sna!$G:$G,"DTDDA")</f>
        <v>0</v>
      </c>
      <c r="M25">
        <f>COUNTIF(Větroplach!$G:$G,"DTDDA")</f>
        <v>0</v>
      </c>
      <c r="N25">
        <f>COUNTIF(Rekonvalescent!$G:$G,"DTDDA")</f>
        <v>0</v>
      </c>
      <c r="O25">
        <f>COUNTIF(Hromnice_hoří!$G:$G,"DTDDA")</f>
        <v>0</v>
      </c>
      <c r="P25">
        <f t="shared" ref="P25" si="9">SUM(D25:O25)</f>
        <v>0</v>
      </c>
      <c r="S25" t="s">
        <v>559</v>
      </c>
      <c r="T25">
        <f>SUM(P17)</f>
        <v>1</v>
      </c>
      <c r="U25" s="5">
        <f t="shared" si="1"/>
        <v>3.6496350364963502E-3</v>
      </c>
    </row>
    <row r="26" spans="2:21">
      <c r="B26" t="s">
        <v>562</v>
      </c>
      <c r="C26" t="s">
        <v>426</v>
      </c>
      <c r="D26">
        <f>COUNTIF(Hory!$G:$G,"DDTDA")</f>
        <v>0</v>
      </c>
      <c r="E26">
        <f>COUNTIF(Zavolej!$G:$G,"DDTDA")</f>
        <v>0</v>
      </c>
      <c r="F26">
        <f>COUNTIF(Ještě_jaro!$G:$G,"DDTDA")</f>
        <v>0</v>
      </c>
      <c r="G26">
        <f>COUNTIF(Ženy_na_ohnici!$G:$G,"DDTDA")</f>
        <v>0</v>
      </c>
      <c r="H26">
        <f>COUNTIF(Větroplach!$G:$G,"DDTDA")</f>
        <v>0</v>
      </c>
      <c r="I26">
        <f>COUNTIF(Na_hřbitově!$G:$G,"DDTDA")</f>
        <v>0</v>
      </c>
      <c r="J26">
        <f>COUNTIF(Rekonvalescent!$G:$G,"DDTDA")</f>
        <v>0</v>
      </c>
      <c r="K26">
        <f>COUNTIF(Píseň_o_studni!$G:$G,"DDTDA")</f>
        <v>0</v>
      </c>
      <c r="L26">
        <f>COUNTIF(Spáči_mluví_ze_sna!$G:$G,"DDTDA")</f>
        <v>0</v>
      </c>
      <c r="M26">
        <f>COUNTIF(Větroplach!$G:$G,"DDTDA")</f>
        <v>0</v>
      </c>
      <c r="N26">
        <f>COUNTIF(Rekonvalescent!$G:$G,"DDTDA")</f>
        <v>0</v>
      </c>
      <c r="O26">
        <f>COUNTIF(Hromnice_hoří!$G:$G,"DDTDA")</f>
        <v>0</v>
      </c>
      <c r="P26">
        <f t="shared" ref="P26" si="10">SUM(D26:O26)</f>
        <v>0</v>
      </c>
      <c r="S26" t="s">
        <v>561</v>
      </c>
      <c r="T26">
        <f>SUM(P18)</f>
        <v>2</v>
      </c>
      <c r="U26" s="5">
        <f t="shared" si="1"/>
        <v>7.2992700729927005E-3</v>
      </c>
    </row>
    <row r="27" spans="2:21">
      <c r="B27" t="s">
        <v>563</v>
      </c>
      <c r="C27" t="s">
        <v>243</v>
      </c>
      <c r="D27">
        <f>COUNTIF(Hory!$G:$G,"DDDTŽ")</f>
        <v>0</v>
      </c>
      <c r="E27">
        <f>COUNTIF(Zavolej!$G:$G,"DDDTŽ")</f>
        <v>0</v>
      </c>
      <c r="F27">
        <f>COUNTIF(Ještě_jaro!$G:$G,"DDDTŽ")</f>
        <v>0</v>
      </c>
      <c r="G27">
        <f>COUNTIF(Ženy_na_ohnici!$G:$G,"DDDTŽ")</f>
        <v>0</v>
      </c>
      <c r="H27">
        <f>COUNTIF(Větroplach!$G:$G,"DDDTŽ")</f>
        <v>1</v>
      </c>
      <c r="I27">
        <f>COUNTIF(Na_hřbitově!$G:$G,"DDDTŽ")</f>
        <v>0</v>
      </c>
      <c r="J27">
        <f>COUNTIF(Rekonvalescent!$G:$G,"DDDTŽ")</f>
        <v>0</v>
      </c>
      <c r="K27">
        <f>COUNTIF(Píseň_o_studni!$G:$G,"DDDTŽ")</f>
        <v>0</v>
      </c>
      <c r="L27">
        <f>COUNTIF(Spáči_mluví_ze_sna!$G:$G,"DDDTŽ")</f>
        <v>0</v>
      </c>
      <c r="M27">
        <f>COUNTIF(Větroplach!$G:$G,"DDDTŽ")</f>
        <v>1</v>
      </c>
      <c r="N27">
        <f>COUNTIF(Rekonvalescent!$G:$G,"DDDTŽ")</f>
        <v>0</v>
      </c>
      <c r="O27">
        <f>COUNTIF(Hromnice_hoří!$G:$G,"DDDTŽ")</f>
        <v>1</v>
      </c>
      <c r="P27">
        <f t="shared" ref="P27" si="11">SUM(D27:O27)</f>
        <v>3</v>
      </c>
      <c r="S27" t="s">
        <v>291</v>
      </c>
      <c r="T27">
        <f>SUM(P19)</f>
        <v>14</v>
      </c>
      <c r="U27" s="5">
        <f t="shared" si="1"/>
        <v>5.1094890510948905E-2</v>
      </c>
    </row>
    <row r="28" spans="2:21">
      <c r="B28" t="s">
        <v>566</v>
      </c>
      <c r="C28" t="s">
        <v>213</v>
      </c>
      <c r="D28">
        <f>COUNTIF(Hory!$G:$G,"TTTDTŽ")</f>
        <v>0</v>
      </c>
      <c r="E28">
        <f>COUNTIF(Zavolej!$G:$G,"TTTDTŽ")</f>
        <v>0</v>
      </c>
      <c r="F28">
        <f>COUNTIF(Ještě_jaro!$G:$G,"TTTDTŽ")</f>
        <v>0</v>
      </c>
      <c r="G28">
        <f>COUNTIF(Ženy_na_ohnici!$G:$G,"TTTDTŽ")</f>
        <v>1</v>
      </c>
      <c r="H28">
        <f>COUNTIF(Větroplach!$G:$G,"TTTDTŽ")</f>
        <v>0</v>
      </c>
      <c r="I28">
        <f>COUNTIF(Na_hřbitově!$G:$G,"TTTDTŽ")</f>
        <v>0</v>
      </c>
      <c r="J28">
        <f>COUNTIF(Rekonvalescent!$G:$G,"TTTDTŽ")</f>
        <v>0</v>
      </c>
      <c r="K28">
        <f>COUNTIF(Píseň_o_studni!$G:$G,"TTTDTŽ")</f>
        <v>0</v>
      </c>
      <c r="L28">
        <f>COUNTIF(Spáči_mluví_ze_sna!$G:$G,"TTTDTŽ")</f>
        <v>0</v>
      </c>
      <c r="M28">
        <f>COUNTIF(Větroplach!$G:$G,"TTTDTŽ")</f>
        <v>0</v>
      </c>
      <c r="N28">
        <f>COUNTIF(Rekonvalescent!$G:$G,"TTTDTŽ")</f>
        <v>0</v>
      </c>
      <c r="O28">
        <f>COUNTIF(Hromnice_hoří!$G:$G,"TTTDTŽ")</f>
        <v>0</v>
      </c>
      <c r="P28">
        <f t="shared" ref="P28" si="12">SUM(D28:O28)</f>
        <v>1</v>
      </c>
      <c r="S28" t="s">
        <v>565</v>
      </c>
      <c r="T28">
        <f>SUM(P20)</f>
        <v>1</v>
      </c>
      <c r="U28" s="5">
        <f t="shared" si="1"/>
        <v>3.6496350364963502E-3</v>
      </c>
    </row>
    <row r="29" spans="2:21">
      <c r="B29" t="s">
        <v>566</v>
      </c>
      <c r="C29" t="s">
        <v>212</v>
      </c>
      <c r="D29">
        <f>COUNTIF(Hory!$G:$G,"TTDTTŽ")</f>
        <v>0</v>
      </c>
      <c r="E29">
        <f>COUNTIF(Zavolej!$G:$G,"TTDTTŽ")</f>
        <v>0</v>
      </c>
      <c r="F29">
        <f>COUNTIF(Ještě_jaro!$G:$G,"TTDTTŽ")</f>
        <v>0</v>
      </c>
      <c r="G29">
        <f>COUNTIF(Ženy_na_ohnici!$G:$G,"TTDTTŽ")</f>
        <v>1</v>
      </c>
      <c r="H29">
        <f>COUNTIF(Větroplach!$G:$G,"TTDTTŽ")</f>
        <v>0</v>
      </c>
      <c r="I29">
        <f>COUNTIF(Na_hřbitově!$G:$G,"TTDTTŽ")</f>
        <v>0</v>
      </c>
      <c r="J29">
        <f>COUNTIF(Rekonvalescent!$G:$G,"TTDTTŽ")</f>
        <v>0</v>
      </c>
      <c r="K29">
        <f>COUNTIF(Píseň_o_studni!$G:$G,"TTDTTŽ")</f>
        <v>0</v>
      </c>
      <c r="L29">
        <f>COUNTIF(Spáči_mluví_ze_sna!$G:$G,"TTDTTŽ")</f>
        <v>0</v>
      </c>
      <c r="M29">
        <f>COUNTIF(Větroplach!$G:$G,"TTDTTŽ")</f>
        <v>0</v>
      </c>
      <c r="N29">
        <f>COUNTIF(Rekonvalescent!$G:$G,"TTDTTŽ")</f>
        <v>0</v>
      </c>
      <c r="O29">
        <f>COUNTIF(Hromnice_hoří!$G:$G,"TTDTTŽ")</f>
        <v>0</v>
      </c>
      <c r="P29">
        <f t="shared" ref="P29" si="13">SUM(D29:O29)</f>
        <v>1</v>
      </c>
      <c r="U29" s="5"/>
    </row>
    <row r="30" spans="2:21">
      <c r="B30" t="s">
        <v>566</v>
      </c>
      <c r="C30" t="s">
        <v>210</v>
      </c>
      <c r="D30">
        <f>COUNTIF(Hory!$G:$G,"DTTTTŽ")</f>
        <v>0</v>
      </c>
      <c r="E30">
        <f>COUNTIF(Zavolej!$G:$G,"DTTTTŽ")</f>
        <v>0</v>
      </c>
      <c r="F30">
        <f>COUNTIF(Ještě_jaro!$G:$G,"DTTTTŽ")</f>
        <v>0</v>
      </c>
      <c r="G30">
        <f>COUNTIF(Ženy_na_ohnici!$G:$G,"DTTTTŽ")</f>
        <v>1</v>
      </c>
      <c r="H30">
        <f>COUNTIF(Větroplach!$G:$G,"DTTTTŽ")</f>
        <v>0</v>
      </c>
      <c r="I30">
        <f>COUNTIF(Na_hřbitově!$G:$G,"DTTTTŽ")</f>
        <v>0</v>
      </c>
      <c r="J30">
        <f>COUNTIF(Rekonvalescent!$G:$G,"DTTTTŽ")</f>
        <v>0</v>
      </c>
      <c r="K30">
        <f>COUNTIF(Píseň_o_studni!$G:$G,"DTTTTŽ")</f>
        <v>0</v>
      </c>
      <c r="L30">
        <f>COUNTIF(Spáči_mluví_ze_sna!$G:$G,"DTTTTŽ")</f>
        <v>0</v>
      </c>
      <c r="M30">
        <f>COUNTIF(Větroplach!$G:$G,"DTTTTŽ")</f>
        <v>0</v>
      </c>
      <c r="N30">
        <f>COUNTIF(Rekonvalescent!$G:$G,"DTTTTŽ")</f>
        <v>0</v>
      </c>
      <c r="O30">
        <f>COUNTIF(Hromnice_hoří!$G:$G,"DTTTTŽ")</f>
        <v>0</v>
      </c>
      <c r="P30">
        <f t="shared" ref="P30" si="14">SUM(D30:O30)</f>
        <v>1</v>
      </c>
      <c r="T30" s="3"/>
      <c r="U30" s="5"/>
    </row>
    <row r="31" spans="2:21">
      <c r="B31" t="s">
        <v>566</v>
      </c>
      <c r="C31" t="s">
        <v>571</v>
      </c>
      <c r="D31">
        <f>COUNTIF(Hory!$G:$G,"TTDDTŽ")</f>
        <v>0</v>
      </c>
      <c r="E31">
        <f>COUNTIF(Zavolej!$G:$G,"TTDDTŽ")</f>
        <v>0</v>
      </c>
      <c r="F31">
        <f>COUNTIF(Ještě_jaro!$G:$G,"TTDDTŽ")</f>
        <v>0</v>
      </c>
      <c r="G31">
        <f>COUNTIF(Ženy_na_ohnici!$G:$G,"TTDDTŽ")</f>
        <v>0</v>
      </c>
      <c r="H31">
        <f>COUNTIF(Větroplach!$G:$G,"TTDDTŽ")</f>
        <v>0</v>
      </c>
      <c r="I31">
        <f>COUNTIF(Na_hřbitově!$G:$G,"TTDDTŽ")</f>
        <v>0</v>
      </c>
      <c r="J31">
        <f>COUNTIF(Rekonvalescent!$G:$G,"TTDDTŽ")</f>
        <v>0</v>
      </c>
      <c r="K31">
        <f>COUNTIF(Píseň_o_studni!$G:$G,"TTDDTŽ")</f>
        <v>0</v>
      </c>
      <c r="L31">
        <f>COUNTIF(Spáči_mluví_ze_sna!$G:$G,"TTDDTŽ")</f>
        <v>0</v>
      </c>
      <c r="M31">
        <f>COUNTIF(Větroplach!$G:$G,"TTDDTŽ")</f>
        <v>0</v>
      </c>
      <c r="N31">
        <f>COUNTIF(Rekonvalescent!$G:$G,"TTDDTŽ")</f>
        <v>0</v>
      </c>
      <c r="O31">
        <f>COUNTIF(Hromnice_hoří!$G:$G,"TTDDTŽ")</f>
        <v>0</v>
      </c>
      <c r="P31">
        <f t="shared" ref="P31" si="15">SUM(D31:O31)</f>
        <v>0</v>
      </c>
      <c r="U31" s="5"/>
    </row>
    <row r="32" spans="2:21">
      <c r="B32" t="s">
        <v>566</v>
      </c>
      <c r="C32" t="s">
        <v>215</v>
      </c>
      <c r="D32">
        <f>COUNTIF(Hory!$G:$G,"TDDTTŽ")</f>
        <v>0</v>
      </c>
      <c r="E32">
        <f>COUNTIF(Zavolej!$G:$G,"TDDTTŽ")</f>
        <v>0</v>
      </c>
      <c r="F32">
        <f>COUNTIF(Ještě_jaro!$G:$G,"TDDTTŽ")</f>
        <v>0</v>
      </c>
      <c r="G32">
        <f>COUNTIF(Ženy_na_ohnici!$G:$G,"TDDTTŽ")</f>
        <v>1</v>
      </c>
      <c r="H32">
        <f>COUNTIF(Větroplach!$G:$G,"TDDTTŽ")</f>
        <v>0</v>
      </c>
      <c r="I32">
        <f>COUNTIF(Na_hřbitově!$G:$G,"TDDTTŽ")</f>
        <v>0</v>
      </c>
      <c r="J32">
        <f>COUNTIF(Rekonvalescent!$G:$G,"TDDTTŽ")</f>
        <v>0</v>
      </c>
      <c r="K32">
        <f>COUNTIF(Píseň_o_studni!$G:$G,"TDDTTŽ")</f>
        <v>0</v>
      </c>
      <c r="L32">
        <f>COUNTIF(Spáči_mluví_ze_sna!$G:$G,"TDDTTŽ")</f>
        <v>0</v>
      </c>
      <c r="M32">
        <f>COUNTIF(Větroplach!$G:$G,"TDDTTŽ")</f>
        <v>0</v>
      </c>
      <c r="N32">
        <f>COUNTIF(Rekonvalescent!$G:$G,"TDDTTŽ")</f>
        <v>0</v>
      </c>
      <c r="O32">
        <f>COUNTIF(Hromnice_hoří!$G:$G,"TDDTTŽ")</f>
        <v>0</v>
      </c>
      <c r="P32">
        <f t="shared" ref="P32" si="16">SUM(D32:O32)</f>
        <v>1</v>
      </c>
      <c r="U32" s="5"/>
    </row>
    <row r="33" spans="2:21">
      <c r="B33" t="s">
        <v>567</v>
      </c>
      <c r="C33" t="s">
        <v>376</v>
      </c>
      <c r="D33">
        <f>COUNTIF(Hory!$G:$G,"DTDTTM")</f>
        <v>0</v>
      </c>
      <c r="E33">
        <f>COUNTIF(Zavolej!$G:$G,"DTDTTM")</f>
        <v>0</v>
      </c>
      <c r="F33">
        <f>COUNTIF(Ještě_jaro!$G:$G,"DTDTTM")</f>
        <v>0</v>
      </c>
      <c r="G33">
        <f>COUNTIF(Ženy_na_ohnici!$G:$G,"DTDTTM")</f>
        <v>0</v>
      </c>
      <c r="H33">
        <f>COUNTIF(Větroplach!$G:$G,"DTDTTM")</f>
        <v>0</v>
      </c>
      <c r="I33">
        <f>COUNTIF(Na_hřbitově!$G:$G,"DTDTTM")</f>
        <v>0</v>
      </c>
      <c r="J33">
        <f>COUNTIF(Rekonvalescent!$G:$G,"DTDTTM")</f>
        <v>0</v>
      </c>
      <c r="K33">
        <f>COUNTIF(Píseň_o_studni!$G:$G,"DTDTTM")</f>
        <v>0</v>
      </c>
      <c r="L33">
        <f>COUNTIF(Spáči_mluví_ze_sna!$G:$G,"DTDTTM")</f>
        <v>0</v>
      </c>
      <c r="M33">
        <f>COUNTIF(Větroplach!$G:$G,"DTDTTM")</f>
        <v>0</v>
      </c>
      <c r="N33">
        <f>COUNTIF(Rekonvalescent!$G:$G,"DTDTTM")</f>
        <v>0</v>
      </c>
      <c r="O33">
        <f>COUNTIF(Hromnice_hoří!$G:$G,"DTDTTM")</f>
        <v>0</v>
      </c>
      <c r="P33">
        <f t="shared" ref="P33" si="17">SUM(D33:O33)</f>
        <v>0</v>
      </c>
      <c r="U33" s="5"/>
    </row>
    <row r="34" spans="2:21">
      <c r="B34" t="s">
        <v>566</v>
      </c>
      <c r="C34" t="s">
        <v>34</v>
      </c>
      <c r="D34">
        <f>COUNTIF(Hory!$G:$G,"DTDTTŽ")</f>
        <v>3</v>
      </c>
      <c r="E34">
        <f>COUNTIF(Zavolej!$G:$G,"DTDTTŽ")</f>
        <v>1</v>
      </c>
      <c r="F34">
        <f>COUNTIF(Ještě_jaro!$G:$G,"DTDTTŽ")</f>
        <v>0</v>
      </c>
      <c r="G34">
        <f>COUNTIF(Ženy_na_ohnici!$G:$G,"DTDTTŽ")</f>
        <v>0</v>
      </c>
      <c r="H34">
        <f>COUNTIF(Větroplach!$G:$G,"DTDTTŽ")</f>
        <v>0</v>
      </c>
      <c r="I34">
        <f>COUNTIF(Na_hřbitově!$G:$G,"DTDTTŽ")</f>
        <v>1</v>
      </c>
      <c r="J34">
        <f>COUNTIF(Rekonvalescent!$G:$G,"DTDTTŽ")</f>
        <v>0</v>
      </c>
      <c r="K34">
        <f>COUNTIF(Píseň_o_studni!$G:$G,"DTDTTŽ")</f>
        <v>0</v>
      </c>
      <c r="L34">
        <f>COUNTIF(Spáči_mluví_ze_sna!$G:$G,"DTDTTŽ")</f>
        <v>0</v>
      </c>
      <c r="M34">
        <f>COUNTIF(Větroplach!$G:$G,"DTDTTŽ")</f>
        <v>0</v>
      </c>
      <c r="N34">
        <f>COUNTIF(Rekonvalescent!$G:$G,"DTDTTŽ")</f>
        <v>0</v>
      </c>
      <c r="O34">
        <f>COUNTIF(Hromnice_hoří!$G:$G,"DTDTTŽ")</f>
        <v>0</v>
      </c>
      <c r="P34">
        <f t="shared" ref="P34" si="18">SUM(D34:O34)</f>
        <v>5</v>
      </c>
      <c r="U34" s="5"/>
    </row>
    <row r="35" spans="2:21">
      <c r="B35" t="s">
        <v>566</v>
      </c>
      <c r="C35" t="s">
        <v>103</v>
      </c>
      <c r="D35">
        <f>COUNTIF(Hory!$G:$G,"DDTTTŽ")</f>
        <v>1</v>
      </c>
      <c r="E35">
        <f>COUNTIF(Zavolej!$G:$G,"DDTTTŽ")</f>
        <v>0</v>
      </c>
      <c r="F35">
        <f>COUNTIF(Ještě_jaro!$G:$G,"DDTTTŽ")</f>
        <v>0</v>
      </c>
      <c r="G35">
        <f>COUNTIF(Ženy_na_ohnici!$G:$G,"DDTTTŽ")</f>
        <v>0</v>
      </c>
      <c r="H35">
        <f>COUNTIF(Větroplach!$G:$G,"DDTTTŽ")</f>
        <v>0</v>
      </c>
      <c r="I35">
        <f>COUNTIF(Na_hřbitově!$G:$G,"DDTTTŽ")</f>
        <v>0</v>
      </c>
      <c r="J35">
        <f>COUNTIF(Rekonvalescent!$G:$G,"DDTTTŽ")</f>
        <v>0</v>
      </c>
      <c r="K35">
        <f>COUNTIF(Píseň_o_studni!$G:$G,"DDTTTŽ")</f>
        <v>0</v>
      </c>
      <c r="L35">
        <f>COUNTIF(Spáči_mluví_ze_sna!$G:$G,"DDTTTŽ")</f>
        <v>0</v>
      </c>
      <c r="M35">
        <f>COUNTIF(Větroplach!$G:$G,"DDTTTŽ")</f>
        <v>0</v>
      </c>
      <c r="N35">
        <f>COUNTIF(Rekonvalescent!$G:$G,"DDTTTŽ")</f>
        <v>0</v>
      </c>
      <c r="O35">
        <f>COUNTIF(Hromnice_hoří!$G:$G,"DDTTTŽ")</f>
        <v>0</v>
      </c>
      <c r="P35">
        <f t="shared" ref="P35" si="19">SUM(D35:O35)</f>
        <v>1</v>
      </c>
      <c r="U35" s="5"/>
    </row>
    <row r="36" spans="2:21">
      <c r="B36" t="s">
        <v>566</v>
      </c>
      <c r="C36" t="s">
        <v>51</v>
      </c>
      <c r="D36">
        <f>COUNTIF(Hory!$G:$G,"DDTDTŽ")</f>
        <v>1</v>
      </c>
      <c r="E36">
        <f>COUNTIF(Zavolej!$G:$G,"DDTDTŽ")</f>
        <v>0</v>
      </c>
      <c r="F36">
        <f>COUNTIF(Ještě_jaro!$G:$G,"DDTDTŽ")</f>
        <v>0</v>
      </c>
      <c r="G36">
        <f>COUNTIF(Ženy_na_ohnici!$G:$G,"DDTDTŽ")</f>
        <v>0</v>
      </c>
      <c r="H36">
        <f>COUNTIF(Větroplach!$G:$G,"DDTDTŽ")</f>
        <v>0</v>
      </c>
      <c r="I36">
        <f>COUNTIF(Na_hřbitově!$G:$G,"DDTDTŽ")</f>
        <v>0</v>
      </c>
      <c r="J36">
        <f>COUNTIF(Rekonvalescent!$G:$G,"DDTDTŽ")</f>
        <v>0</v>
      </c>
      <c r="K36">
        <f>COUNTIF(Píseň_o_studni!$G:$G,"DDTDTŽ")</f>
        <v>0</v>
      </c>
      <c r="L36">
        <f>COUNTIF(Spáči_mluví_ze_sna!$G:$G,"DDTDTŽ")</f>
        <v>0</v>
      </c>
      <c r="M36">
        <f>COUNTIF(Větroplach!$G:$G,"DDTDTŽ")</f>
        <v>0</v>
      </c>
      <c r="N36">
        <f>COUNTIF(Rekonvalescent!$G:$G,"DDTDTŽ")</f>
        <v>0</v>
      </c>
      <c r="O36">
        <f>COUNTIF(Hromnice_hoří!$G:$G,"DDTDTŽ")</f>
        <v>0</v>
      </c>
      <c r="P36">
        <f t="shared" ref="P36" si="20">SUM(D36:O36)</f>
        <v>1</v>
      </c>
      <c r="U36" s="5"/>
    </row>
    <row r="37" spans="2:21">
      <c r="B37" t="s">
        <v>566</v>
      </c>
      <c r="C37" t="s">
        <v>92</v>
      </c>
      <c r="D37">
        <f>COUNTIF(Hory!$G:$G,"DDDTTŽ")</f>
        <v>1</v>
      </c>
      <c r="E37">
        <f>COUNTIF(Zavolej!$G:$G,"DDDTTŽ")</f>
        <v>0</v>
      </c>
      <c r="F37">
        <f>COUNTIF(Ještě_jaro!$G:$G,"DDDTTŽ")</f>
        <v>0</v>
      </c>
      <c r="G37">
        <f>COUNTIF(Ženy_na_ohnici!$G:$G,"DDDTTŽ")</f>
        <v>0</v>
      </c>
      <c r="H37">
        <f>COUNTIF(Větroplach!$G:$G,"DDDTTŽ")</f>
        <v>0</v>
      </c>
      <c r="I37">
        <f>COUNTIF(Na_hřbitově!$G:$G,"DDDTTŽ")</f>
        <v>0</v>
      </c>
      <c r="J37">
        <f>COUNTIF(Rekonvalescent!$G:$G,"DDDTTŽ")</f>
        <v>1</v>
      </c>
      <c r="K37">
        <f>COUNTIF(Píseň_o_studni!$G:$G,"DDDTTŽ")</f>
        <v>0</v>
      </c>
      <c r="L37">
        <f>COUNTIF(Spáči_mluví_ze_sna!$G:$G,"DDDTTŽ")</f>
        <v>0</v>
      </c>
      <c r="M37">
        <f>COUNTIF(Větroplach!$G:$G,"DDDTTŽ")</f>
        <v>0</v>
      </c>
      <c r="N37">
        <f>COUNTIF(Rekonvalescent!$G:$G,"DDDTTŽ")</f>
        <v>1</v>
      </c>
      <c r="O37">
        <f>COUNTIF(Hromnice_hoří!$G:$G,"DDDTTŽ")</f>
        <v>0</v>
      </c>
      <c r="P37">
        <f t="shared" ref="P37" si="21">SUM(D37:O37)</f>
        <v>3</v>
      </c>
      <c r="U37" s="5"/>
    </row>
    <row r="38" spans="2:21">
      <c r="B38" t="s">
        <v>568</v>
      </c>
      <c r="C38" t="s">
        <v>214</v>
      </c>
      <c r="D38">
        <f>COUNTIF(Hory!$G:$G,"TTDTTTM")</f>
        <v>0</v>
      </c>
      <c r="E38">
        <f>COUNTIF(Zavolej!$G:$G,"TTDTTTM")</f>
        <v>0</v>
      </c>
      <c r="F38">
        <f>COUNTIF(Ještě_jaro!$G:$G,"TTDTTTM")</f>
        <v>0</v>
      </c>
      <c r="G38">
        <f>COUNTIF(Ženy_na_ohnici!$G:$G,"TTDTTTM")</f>
        <v>1</v>
      </c>
      <c r="H38">
        <f>COUNTIF(Větroplach!$G:$G,"TTDTTTM")</f>
        <v>0</v>
      </c>
      <c r="I38">
        <f>COUNTIF(Na_hřbitově!$G:$G,"TTDTTTM")</f>
        <v>0</v>
      </c>
      <c r="J38">
        <f>COUNTIF(Rekonvalescent!$G:$G,"TTDTTTM")</f>
        <v>0</v>
      </c>
      <c r="K38">
        <f>COUNTIF(Píseň_o_studni!$G:$G,"TTDTTTM")</f>
        <v>0</v>
      </c>
      <c r="L38">
        <f>COUNTIF(Spáči_mluví_ze_sna!$G:$G,"TTDTTTM")</f>
        <v>0</v>
      </c>
      <c r="M38">
        <f>COUNTIF(Větroplach!$G:$G,"TTDTTTM")</f>
        <v>0</v>
      </c>
      <c r="N38">
        <f>COUNTIF(Rekonvalescent!$G:$G,"TTDTTTM")</f>
        <v>0</v>
      </c>
      <c r="O38">
        <f>COUNTIF(Hromnice_hoří!$G:$G,"TTDTTTM")</f>
        <v>0</v>
      </c>
      <c r="P38">
        <f t="shared" ref="P38" si="22">SUM(D38:O38)</f>
        <v>1</v>
      </c>
      <c r="U38" s="5"/>
    </row>
    <row r="39" spans="2:21">
      <c r="B39" t="s">
        <v>569</v>
      </c>
      <c r="C39" t="s">
        <v>137</v>
      </c>
      <c r="D39">
        <f>COUNTIF(Hory!$G:$G,"pDDTTŽ")</f>
        <v>0</v>
      </c>
      <c r="E39">
        <f>COUNTIF(Zavolej!$G:$G,"pDDTTŽ")</f>
        <v>1</v>
      </c>
      <c r="F39">
        <f>COUNTIF(Ještě_jaro!$G:$G,"pDDTTŽ")</f>
        <v>0</v>
      </c>
      <c r="G39">
        <f>COUNTIF(Ženy_na_ohnici!$G:$G,"pDDTTŽ")</f>
        <v>0</v>
      </c>
      <c r="H39">
        <f>COUNTIF(Větroplach!$G:$G,"pDDTTŽ")</f>
        <v>0</v>
      </c>
      <c r="I39">
        <f>COUNTIF(Na_hřbitově!$G:$G,"pDDTTŽ")</f>
        <v>0</v>
      </c>
      <c r="J39">
        <f>COUNTIF(Rekonvalescent!$G:$G,"pDDTTŽ")</f>
        <v>0</v>
      </c>
      <c r="K39">
        <f>COUNTIF(Píseň_o_studni!$G:$G,"pDDTTŽ")</f>
        <v>0</v>
      </c>
      <c r="L39">
        <f>COUNTIF(Spáči_mluví_ze_sna!$G:$G,"pDDTTŽ")</f>
        <v>0</v>
      </c>
      <c r="M39">
        <f>COUNTIF(Větroplach!$G:$G,"pDDTTŽ")</f>
        <v>0</v>
      </c>
      <c r="N39">
        <f>COUNTIF(Rekonvalescent!$G:$G,"pDDTTŽ")</f>
        <v>0</v>
      </c>
      <c r="O39">
        <f>COUNTIF(Hromnice_hoří!$G:$G,"pDDTTŽ")</f>
        <v>0</v>
      </c>
      <c r="P39">
        <f t="shared" ref="P39" si="23">SUM(D39:O39)</f>
        <v>1</v>
      </c>
      <c r="U39" s="5"/>
    </row>
    <row r="40" spans="2:21">
      <c r="B40" t="s">
        <v>570</v>
      </c>
      <c r="C40" t="s">
        <v>371</v>
      </c>
      <c r="D40">
        <f>COUNTIF(Hory!$G:$G,"pTDDDM")</f>
        <v>0</v>
      </c>
      <c r="E40">
        <f>COUNTIF(Zavolej!$G:$G,"pTDDDM")</f>
        <v>0</v>
      </c>
      <c r="F40">
        <f>COUNTIF(Ještě_jaro!$G:$G,"pTDDDM")</f>
        <v>0</v>
      </c>
      <c r="G40">
        <f>COUNTIF(Ženy_na_ohnici!$G:$G,"pTDDDM")</f>
        <v>0</v>
      </c>
      <c r="H40">
        <f>COUNTIF(Větroplach!$G:$G,"pTDDDM")</f>
        <v>0</v>
      </c>
      <c r="I40">
        <f>COUNTIF(Na_hřbitově!$G:$G,"pTDDDM")</f>
        <v>0</v>
      </c>
      <c r="J40">
        <f>COUNTIF(Rekonvalescent!$G:$G,"pTDDDM")</f>
        <v>0</v>
      </c>
      <c r="K40">
        <f>COUNTIF(Píseň_o_studni!$G:$G,"pTDDDM")</f>
        <v>0</v>
      </c>
      <c r="L40">
        <f>COUNTIF(Spáči_mluví_ze_sna!$G:$G,"pTDDDM")</f>
        <v>1</v>
      </c>
      <c r="M40">
        <f>COUNTIF(Větroplach!$G:$G,"pTDDDM")</f>
        <v>0</v>
      </c>
      <c r="N40">
        <f>COUNTIF(Rekonvalescent!$G:$G,"pTDDDM")</f>
        <v>0</v>
      </c>
      <c r="O40">
        <f>COUNTIF(Hromnice_hoří!$G:$G,"pTDDDM")</f>
        <v>0</v>
      </c>
      <c r="P40">
        <f t="shared" ref="P40" si="24">SUM(D40:O40)</f>
        <v>1</v>
      </c>
      <c r="U40" s="5"/>
    </row>
    <row r="41" spans="2:21">
      <c r="U41" s="5"/>
    </row>
    <row r="42" spans="2:21">
      <c r="U42" s="5"/>
    </row>
    <row r="43" spans="2:21">
      <c r="U43" s="5"/>
    </row>
    <row r="44" spans="2:21">
      <c r="U44" s="5"/>
    </row>
    <row r="45" spans="2:21">
      <c r="U45" s="5"/>
    </row>
    <row r="47" spans="2:21">
      <c r="E47" s="4" t="s">
        <v>538</v>
      </c>
      <c r="H47" s="1" t="s">
        <v>572</v>
      </c>
      <c r="I47" s="4"/>
      <c r="J47" s="4" t="s">
        <v>538</v>
      </c>
      <c r="M47" s="1" t="s">
        <v>572</v>
      </c>
      <c r="N47" s="4" t="s">
        <v>538</v>
      </c>
    </row>
    <row r="48" spans="2:21">
      <c r="B48" s="3"/>
      <c r="C48" s="4" t="s">
        <v>573</v>
      </c>
      <c r="D48" s="4">
        <f>SUM(P3)</f>
        <v>1</v>
      </c>
      <c r="E48" s="6">
        <f>D48/(SUM($D$48:$D$64))</f>
        <v>3.6496350364963502E-3</v>
      </c>
      <c r="H48" s="4" t="s">
        <v>574</v>
      </c>
      <c r="I48" s="4">
        <v>151</v>
      </c>
      <c r="J48" s="6">
        <v>0.52068965517241383</v>
      </c>
      <c r="M48" s="4" t="s">
        <v>574</v>
      </c>
      <c r="N48" s="6">
        <v>0.52068965517241383</v>
      </c>
    </row>
    <row r="49" spans="3:14">
      <c r="C49" s="4" t="s">
        <v>575</v>
      </c>
      <c r="D49" s="4">
        <f>SUM(P4:P5)</f>
        <v>2</v>
      </c>
      <c r="E49" s="6">
        <f t="shared" ref="E49:E64" si="25">D49/(SUM($D$48:$D$64))</f>
        <v>7.2992700729927005E-3</v>
      </c>
      <c r="H49" s="4" t="s">
        <v>576</v>
      </c>
      <c r="I49" s="4">
        <v>42</v>
      </c>
      <c r="J49" s="6">
        <v>0.14482758620689656</v>
      </c>
      <c r="M49" s="4" t="s">
        <v>576</v>
      </c>
      <c r="N49" s="6">
        <v>0.14482758620689656</v>
      </c>
    </row>
    <row r="50" spans="3:14">
      <c r="C50" s="4" t="s">
        <v>577</v>
      </c>
      <c r="D50" s="4">
        <f>SUM(P6)</f>
        <v>2</v>
      </c>
      <c r="E50" s="6">
        <f t="shared" si="25"/>
        <v>7.2992700729927005E-3</v>
      </c>
      <c r="H50" s="4" t="s">
        <v>578</v>
      </c>
      <c r="I50" s="4">
        <v>29</v>
      </c>
      <c r="J50" s="6">
        <v>0.1</v>
      </c>
      <c r="M50" s="4" t="s">
        <v>578</v>
      </c>
      <c r="N50" s="6">
        <v>0.1</v>
      </c>
    </row>
    <row r="51" spans="3:14">
      <c r="C51" s="4" t="s">
        <v>578</v>
      </c>
      <c r="D51" s="4">
        <f>SUM(P7:P8)</f>
        <v>29</v>
      </c>
      <c r="E51" s="6">
        <f t="shared" si="25"/>
        <v>0.10583941605839416</v>
      </c>
      <c r="H51" s="4" t="s">
        <v>579</v>
      </c>
      <c r="I51" s="4">
        <v>20</v>
      </c>
      <c r="J51" s="6">
        <v>6.8965517241379309E-2</v>
      </c>
      <c r="M51" s="4" t="s">
        <v>579</v>
      </c>
      <c r="N51" s="6">
        <v>6.8965517241379309E-2</v>
      </c>
    </row>
    <row r="52" spans="3:14">
      <c r="C52" s="4" t="s">
        <v>574</v>
      </c>
      <c r="D52" s="4">
        <f>SUM(P9:P10)</f>
        <v>139</v>
      </c>
      <c r="E52" s="6">
        <f t="shared" si="25"/>
        <v>0.50729927007299269</v>
      </c>
      <c r="H52" s="4" t="s">
        <v>580</v>
      </c>
      <c r="I52" s="4">
        <v>12</v>
      </c>
      <c r="J52" s="6">
        <v>4.1379310344827586E-2</v>
      </c>
      <c r="M52" s="4" t="s">
        <v>580</v>
      </c>
      <c r="N52" s="6">
        <v>4.1379310344827586E-2</v>
      </c>
    </row>
    <row r="53" spans="3:14">
      <c r="C53" s="4" t="s">
        <v>581</v>
      </c>
      <c r="D53" s="4">
        <f>SUM(P11:P12)</f>
        <v>4</v>
      </c>
      <c r="E53" s="6">
        <f t="shared" si="25"/>
        <v>1.4598540145985401E-2</v>
      </c>
      <c r="H53" s="4" t="s">
        <v>582</v>
      </c>
      <c r="I53" s="4">
        <v>11</v>
      </c>
      <c r="J53" s="6">
        <v>3.793103448275862E-2</v>
      </c>
      <c r="M53" s="4" t="s">
        <v>582</v>
      </c>
      <c r="N53" s="6">
        <v>3.793103448275862E-2</v>
      </c>
    </row>
    <row r="54" spans="3:14">
      <c r="C54" s="4" t="s">
        <v>576</v>
      </c>
      <c r="D54" s="4">
        <f>SUM(P13:P14)</f>
        <v>44</v>
      </c>
      <c r="E54" s="6">
        <f t="shared" si="25"/>
        <v>0.16058394160583941</v>
      </c>
      <c r="H54" s="4" t="s">
        <v>583</v>
      </c>
      <c r="I54" s="4">
        <v>6</v>
      </c>
      <c r="J54" s="6">
        <v>2.0689655172413793E-2</v>
      </c>
      <c r="M54" s="4" t="s">
        <v>583</v>
      </c>
      <c r="N54" s="6">
        <v>2.0689655172413793E-2</v>
      </c>
    </row>
    <row r="55" spans="3:14">
      <c r="C55" s="4" t="s">
        <v>583</v>
      </c>
      <c r="D55" s="4">
        <f>SUM(P15:P16)</f>
        <v>6</v>
      </c>
      <c r="E55" s="6">
        <f t="shared" si="25"/>
        <v>2.1897810218978103E-2</v>
      </c>
      <c r="H55" s="4" t="s">
        <v>581</v>
      </c>
      <c r="I55" s="4">
        <v>4</v>
      </c>
      <c r="J55" s="6">
        <v>1.3793103448275862E-2</v>
      </c>
      <c r="M55" s="4" t="s">
        <v>581</v>
      </c>
      <c r="N55" s="6">
        <v>1.3793103448275862E-2</v>
      </c>
    </row>
    <row r="56" spans="3:14">
      <c r="C56" s="4" t="s">
        <v>584</v>
      </c>
      <c r="D56" s="4">
        <f>SUM(P17)</f>
        <v>1</v>
      </c>
      <c r="E56" s="6">
        <f t="shared" si="25"/>
        <v>3.6496350364963502E-3</v>
      </c>
      <c r="H56" s="4" t="s">
        <v>585</v>
      </c>
      <c r="I56" s="4">
        <v>3</v>
      </c>
      <c r="J56" s="6">
        <v>1.0344827586206896E-2</v>
      </c>
      <c r="M56" s="4" t="s">
        <v>585</v>
      </c>
      <c r="N56" s="6">
        <v>1.0344827586206896E-2</v>
      </c>
    </row>
    <row r="57" spans="3:14">
      <c r="C57" s="4" t="s">
        <v>585</v>
      </c>
      <c r="D57" s="4">
        <f>SUM(P18)</f>
        <v>2</v>
      </c>
      <c r="E57" s="6">
        <f t="shared" si="25"/>
        <v>7.2992700729927005E-3</v>
      </c>
      <c r="H57" s="4" t="s">
        <v>586</v>
      </c>
      <c r="I57" s="4">
        <v>3</v>
      </c>
      <c r="J57" s="6">
        <v>1.0344827586206896E-2</v>
      </c>
      <c r="M57" s="4" t="s">
        <v>586</v>
      </c>
      <c r="N57" s="6">
        <v>1.0344827586206896E-2</v>
      </c>
    </row>
    <row r="58" spans="3:14">
      <c r="C58" s="4" t="s">
        <v>582</v>
      </c>
      <c r="D58" s="4">
        <f>SUM(P19)</f>
        <v>14</v>
      </c>
      <c r="E58" s="6">
        <f t="shared" si="25"/>
        <v>5.1094890510948905E-2</v>
      </c>
      <c r="H58" s="4" t="s">
        <v>575</v>
      </c>
      <c r="I58" s="4">
        <v>2</v>
      </c>
      <c r="J58" s="6">
        <v>6.8965517241379309E-3</v>
      </c>
      <c r="M58" s="4" t="s">
        <v>575</v>
      </c>
      <c r="N58" s="6">
        <v>6.8965517241379309E-3</v>
      </c>
    </row>
    <row r="59" spans="3:14">
      <c r="C59" s="4" t="s">
        <v>587</v>
      </c>
      <c r="D59" s="4">
        <f>SUM(P20)</f>
        <v>1</v>
      </c>
      <c r="E59" s="6">
        <f t="shared" si="25"/>
        <v>3.6496350364963502E-3</v>
      </c>
      <c r="H59" s="4" t="s">
        <v>577</v>
      </c>
      <c r="I59" s="4">
        <v>2</v>
      </c>
      <c r="J59" s="6">
        <v>6.8965517241379309E-3</v>
      </c>
      <c r="M59" s="4" t="s">
        <v>577</v>
      </c>
      <c r="N59" s="6">
        <v>6.8965517241379309E-3</v>
      </c>
    </row>
    <row r="60" spans="3:14">
      <c r="C60" s="4" t="s">
        <v>588</v>
      </c>
      <c r="D60" s="4">
        <f>SUM(P21)</f>
        <v>1</v>
      </c>
      <c r="E60" s="6">
        <f t="shared" si="25"/>
        <v>3.6496350364963502E-3</v>
      </c>
      <c r="H60" s="4" t="s">
        <v>573</v>
      </c>
      <c r="I60" s="4">
        <v>1</v>
      </c>
      <c r="J60" s="6">
        <v>3.4482758620689655E-3</v>
      </c>
      <c r="M60" s="4" t="s">
        <v>573</v>
      </c>
      <c r="N60" s="6">
        <v>3.4482758620689655E-3</v>
      </c>
    </row>
    <row r="61" spans="3:14">
      <c r="C61" s="4" t="s">
        <v>580</v>
      </c>
      <c r="D61" s="4">
        <f>SUM(P22:P27)</f>
        <v>11</v>
      </c>
      <c r="E61" s="6">
        <f t="shared" si="25"/>
        <v>4.0145985401459854E-2</v>
      </c>
      <c r="H61" s="4" t="s">
        <v>584</v>
      </c>
      <c r="I61" s="4">
        <v>1</v>
      </c>
      <c r="J61" s="6">
        <v>3.4482758620689655E-3</v>
      </c>
      <c r="M61" s="4" t="s">
        <v>584</v>
      </c>
      <c r="N61" s="6">
        <v>3.4482758620689655E-3</v>
      </c>
    </row>
    <row r="62" spans="3:14">
      <c r="C62" s="4" t="s">
        <v>579</v>
      </c>
      <c r="D62" s="4">
        <f>SUM(P28:P37)</f>
        <v>14</v>
      </c>
      <c r="E62" s="6">
        <f t="shared" si="25"/>
        <v>5.1094890510948905E-2</v>
      </c>
      <c r="H62" s="4" t="s">
        <v>587</v>
      </c>
      <c r="I62" s="4">
        <v>1</v>
      </c>
      <c r="J62" s="6">
        <v>3.4482758620689655E-3</v>
      </c>
      <c r="M62" s="4" t="s">
        <v>587</v>
      </c>
      <c r="N62" s="6">
        <v>3.4482758620689655E-3</v>
      </c>
    </row>
    <row r="63" spans="3:14">
      <c r="C63" s="4" t="s">
        <v>589</v>
      </c>
      <c r="D63" s="4">
        <f>SUM(P38)</f>
        <v>1</v>
      </c>
      <c r="E63" s="6">
        <f t="shared" si="25"/>
        <v>3.6496350364963502E-3</v>
      </c>
      <c r="H63" s="4" t="s">
        <v>588</v>
      </c>
      <c r="I63" s="4">
        <v>1</v>
      </c>
      <c r="J63" s="6">
        <v>3.4482758620689655E-3</v>
      </c>
      <c r="M63" s="4" t="s">
        <v>588</v>
      </c>
      <c r="N63" s="6">
        <v>3.4482758620689655E-3</v>
      </c>
    </row>
    <row r="64" spans="3:14">
      <c r="C64" s="4" t="s">
        <v>586</v>
      </c>
      <c r="D64" s="4">
        <f>SUM(P39:P40)</f>
        <v>2</v>
      </c>
      <c r="E64" s="6">
        <f t="shared" si="25"/>
        <v>7.2992700729927005E-3</v>
      </c>
      <c r="H64" s="4" t="s">
        <v>589</v>
      </c>
      <c r="I64" s="4">
        <v>1</v>
      </c>
      <c r="J64" s="6">
        <v>3.4482758620689655E-3</v>
      </c>
      <c r="M64" s="4" t="s">
        <v>589</v>
      </c>
      <c r="N64" s="6">
        <v>3.4482758620689655E-3</v>
      </c>
    </row>
    <row r="67" spans="5:5">
      <c r="E67" s="5"/>
    </row>
  </sheetData>
  <sortState xmlns:xlrd2="http://schemas.microsoft.com/office/spreadsheetml/2017/richdata2" ref="H48:J64">
    <sortCondition descending="1" ref="J48:J64"/>
  </sortState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B70C2-1167-471B-A861-E6FFC455AC35}">
  <dimension ref="B2:AE120"/>
  <sheetViews>
    <sheetView zoomScale="89" workbookViewId="0">
      <selection activeCell="B124" sqref="B124"/>
    </sheetView>
  </sheetViews>
  <sheetFormatPr defaultRowHeight="14.45"/>
  <cols>
    <col min="2" max="2" width="17.7109375" customWidth="1"/>
    <col min="3" max="3" width="9.7109375" customWidth="1"/>
    <col min="4" max="4" width="15.5703125" customWidth="1"/>
    <col min="5" max="5" width="11.140625" customWidth="1"/>
    <col min="6" max="6" width="11" customWidth="1"/>
    <col min="7" max="7" width="14.28515625" customWidth="1"/>
    <col min="8" max="8" width="13" customWidth="1"/>
    <col min="9" max="9" width="11.7109375" customWidth="1"/>
    <col min="10" max="10" width="15.7109375" customWidth="1"/>
    <col min="11" max="11" width="13.7109375" customWidth="1"/>
    <col min="12" max="12" width="15.7109375" customWidth="1"/>
    <col min="13" max="13" width="16.7109375" customWidth="1"/>
    <col min="14" max="14" width="15.28515625" customWidth="1"/>
    <col min="15" max="15" width="13.140625" customWidth="1"/>
    <col min="16" max="16" width="13.28515625" customWidth="1"/>
    <col min="17" max="17" width="16.140625" customWidth="1"/>
    <col min="18" max="18" width="15.7109375" customWidth="1"/>
    <col min="21" max="21" width="9.28515625" customWidth="1"/>
    <col min="22" max="22" width="18.140625" customWidth="1"/>
  </cols>
  <sheetData>
    <row r="2" spans="2:23">
      <c r="B2" s="92" t="s">
        <v>16</v>
      </c>
      <c r="E2" t="s">
        <v>7</v>
      </c>
      <c r="F2" t="s">
        <v>104</v>
      </c>
      <c r="G2" t="s">
        <v>138</v>
      </c>
      <c r="H2" t="s">
        <v>169</v>
      </c>
      <c r="I2" t="s">
        <v>216</v>
      </c>
      <c r="J2" t="s">
        <v>244</v>
      </c>
      <c r="K2" t="s">
        <v>292</v>
      </c>
      <c r="L2" t="s">
        <v>320</v>
      </c>
      <c r="M2" t="s">
        <v>346</v>
      </c>
      <c r="N2" t="s">
        <v>372</v>
      </c>
      <c r="O2" t="s">
        <v>421</v>
      </c>
      <c r="P2" t="s">
        <v>464</v>
      </c>
      <c r="S2" s="8" t="s">
        <v>590</v>
      </c>
      <c r="T2" s="8" t="s">
        <v>538</v>
      </c>
    </row>
    <row r="3" spans="2:23">
      <c r="B3" s="93"/>
      <c r="D3" t="s">
        <v>35</v>
      </c>
      <c r="E3">
        <f>COUNTIF(Hory!K:K,"ABAB")</f>
        <v>6</v>
      </c>
      <c r="F3">
        <f>COUNTIF(Zavolej!K:K,"ABAB")</f>
        <v>4</v>
      </c>
      <c r="G3">
        <f>COUNTIF(Ještě_jaro!K:K,"ABAB")</f>
        <v>2</v>
      </c>
      <c r="H3">
        <f>COUNTIF(Ženy_na_ohnici!K:K,"ABAB")</f>
        <v>7</v>
      </c>
      <c r="I3">
        <f>COUNTIF(Větroplach!K:K,"ABAB")</f>
        <v>5</v>
      </c>
      <c r="J3">
        <f>COUNTIF(Na_hřbitově!K:K,"ABAB")</f>
        <v>8</v>
      </c>
      <c r="K3">
        <f>COUNTIF(Rekonvalescent!K:K,"ABAB")</f>
        <v>5</v>
      </c>
      <c r="L3">
        <f>COUNTIF(Píseň_o_studni!K:K,"ABAB")</f>
        <v>5</v>
      </c>
      <c r="M3">
        <f>COUNTIF(Spáči_mluví_ze_sna!K:K,"ABAB")</f>
        <v>5</v>
      </c>
      <c r="N3">
        <f>COUNTIF(Kvetoucí_mohyla!K:K,"ABAB")</f>
        <v>8</v>
      </c>
      <c r="O3">
        <f>COUNTIF(Slunovrat!K:K,"ABAB")</f>
        <v>6</v>
      </c>
      <c r="P3">
        <f>COUNTIF(Hromnice_hoří!K:K,"ABAB")</f>
        <v>0</v>
      </c>
      <c r="R3" t="s">
        <v>35</v>
      </c>
      <c r="S3">
        <f>SUM(E3:P3)</f>
        <v>61</v>
      </c>
      <c r="T3" s="9">
        <f>S3/$S$8</f>
        <v>0.8970588235294118</v>
      </c>
      <c r="V3" s="3">
        <f>(S3*LEN(R3))+(S4*LEN(R4))+(S5*LEN(R5))+(S6*LEN(R6))</f>
        <v>290</v>
      </c>
      <c r="W3" s="38">
        <f>rymy!T49</f>
        <v>0.17985611510791366</v>
      </c>
    </row>
    <row r="4" spans="2:23">
      <c r="B4" s="94"/>
      <c r="D4" t="s">
        <v>466</v>
      </c>
      <c r="E4">
        <f>COUNTIF(Hory!K:K,"AABBCC")</f>
        <v>0</v>
      </c>
      <c r="F4">
        <f>COUNTIF(Zavolej!K:K,"AABBCC")</f>
        <v>0</v>
      </c>
      <c r="G4">
        <f>COUNTIF(Ještě_jaro!K:K,"AABBCC")</f>
        <v>0</v>
      </c>
      <c r="H4">
        <f>COUNTIF(Ženy_na_ohnici!K:K,"AABBCC")</f>
        <v>0</v>
      </c>
      <c r="I4">
        <f>COUNTIF(Větroplach!K:K,"AABBCC")</f>
        <v>0</v>
      </c>
      <c r="J4">
        <f>COUNTIF(Na_hřbitově!K:K,"AABBCC")</f>
        <v>0</v>
      </c>
      <c r="K4">
        <f>COUNTIF(Rekonvalescent!K:K,"AABBCC")</f>
        <v>0</v>
      </c>
      <c r="L4">
        <f>COUNTIF(Píseň_o_studni!K:K,"AABBCC")</f>
        <v>0</v>
      </c>
      <c r="M4">
        <f>COUNTIF(Spáči_mluví_ze_sna!K:K,"AABBCC")</f>
        <v>0</v>
      </c>
      <c r="N4">
        <f>COUNTIF(Kvetoucí_mohyla!K:K,"AABBCC")</f>
        <v>0</v>
      </c>
      <c r="O4">
        <f>COUNTIF(Slunovrat!K:K,"AABBCC")</f>
        <v>0</v>
      </c>
      <c r="P4">
        <f>COUNTIF(Hromnice_hoří!K:K,"AABBCC")</f>
        <v>5</v>
      </c>
      <c r="R4" t="s">
        <v>466</v>
      </c>
      <c r="S4">
        <f>SUM(E4:P4)</f>
        <v>5</v>
      </c>
      <c r="T4" s="9">
        <f>S4/$S$8</f>
        <v>7.3529411764705885E-2</v>
      </c>
    </row>
    <row r="5" spans="2:23">
      <c r="D5" t="s">
        <v>473</v>
      </c>
      <c r="E5">
        <f>COUNTIF(Hory!K:K,"AABBCDCD")</f>
        <v>0</v>
      </c>
      <c r="F5">
        <f>COUNTIF(Zavolej!K:K,"AABBCDCD")</f>
        <v>0</v>
      </c>
      <c r="G5">
        <f>COUNTIF(Ještě_jaro!K:K,"AABBCDCD")</f>
        <v>0</v>
      </c>
      <c r="H5">
        <f>COUNTIF(Ženy_na_ohnici!K:K,"AABBCDCD")</f>
        <v>0</v>
      </c>
      <c r="I5">
        <f>COUNTIF(Větroplach!K:K,"AABBCDCD")</f>
        <v>0</v>
      </c>
      <c r="J5">
        <f>COUNTIF(Na_hřbitově!K:K,"AABBCDCD")</f>
        <v>0</v>
      </c>
      <c r="K5">
        <f>COUNTIF(Rekonvalescent!K:K,"AABBCDCD")</f>
        <v>0</v>
      </c>
      <c r="L5">
        <f>COUNTIF(Píseň_o_studni!K:K,"AABBCDCD")</f>
        <v>0</v>
      </c>
      <c r="M5">
        <f>COUNTIF(Spáči_mluví_ze_sna!K:K,"AABBCDCD")</f>
        <v>0</v>
      </c>
      <c r="N5">
        <f>COUNTIF(Kvetoucí_mohyla!K:K,"AABBCDCD")</f>
        <v>0</v>
      </c>
      <c r="O5">
        <f>COUNTIF(Slunovrat!K:K,"AABBCDCD")</f>
        <v>0</v>
      </c>
      <c r="P5">
        <f>COUNTIF(Hromnice_hoří!K:K,"AABBCDCD")</f>
        <v>1</v>
      </c>
      <c r="R5" t="s">
        <v>473</v>
      </c>
      <c r="S5">
        <f>SUM(E5:P5)</f>
        <v>1</v>
      </c>
      <c r="T5" s="9">
        <f>S5/$S$8</f>
        <v>1.4705882352941176E-2</v>
      </c>
    </row>
    <row r="6" spans="2:23">
      <c r="D6" t="s">
        <v>139</v>
      </c>
      <c r="E6">
        <f>COUNTIF(Hory!K:K,"ABABABAB")</f>
        <v>0</v>
      </c>
      <c r="F6">
        <f>COUNTIF(Zavolej!K:K,"ABABABAB")</f>
        <v>0</v>
      </c>
      <c r="G6">
        <f>COUNTIF(Ještě_jaro!K:K,"ABABABAB")</f>
        <v>1</v>
      </c>
      <c r="H6">
        <f>COUNTIF(Ženy_na_ohnici!K:K,"ABABABAB")</f>
        <v>0</v>
      </c>
      <c r="I6">
        <f>COUNTIF(Větroplach!K:K,"ABABABAB")</f>
        <v>0</v>
      </c>
      <c r="J6">
        <f>COUNTIF(Na_hřbitově!K:K,"ABABABAB")</f>
        <v>0</v>
      </c>
      <c r="K6">
        <f>COUNTIF(Rekonvalescent!K:K,"ABABABAB")</f>
        <v>0</v>
      </c>
      <c r="L6">
        <f>COUNTIF(Píseň_o_studni!K:K,"ABABABAB")</f>
        <v>0</v>
      </c>
      <c r="M6">
        <f>COUNTIF(Spáči_mluví_ze_sna!K:K,"ABABABAB")</f>
        <v>0</v>
      </c>
      <c r="N6">
        <f>COUNTIF(Kvetoucí_mohyla!K:K,"ABABABAB")</f>
        <v>0</v>
      </c>
      <c r="O6">
        <f>COUNTIF(Slunovrat!K:K,"ABABABAB")</f>
        <v>0</v>
      </c>
      <c r="P6">
        <f>COUNTIF(Hromnice_hoří!K:K,"ABABABAB")</f>
        <v>0</v>
      </c>
      <c r="R6" t="s">
        <v>139</v>
      </c>
      <c r="S6">
        <f>SUM(E6:P6)</f>
        <v>1</v>
      </c>
      <c r="T6" s="9">
        <f>S6/$S$8</f>
        <v>1.4705882352941176E-2</v>
      </c>
    </row>
    <row r="8" spans="2:23">
      <c r="R8" t="s">
        <v>591</v>
      </c>
      <c r="S8">
        <f>SUM(S3:S6)</f>
        <v>68</v>
      </c>
    </row>
    <row r="9" spans="2:23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</row>
    <row r="11" spans="2:23">
      <c r="B11" s="92" t="s">
        <v>21</v>
      </c>
      <c r="E11" t="s">
        <v>7</v>
      </c>
      <c r="F11" t="s">
        <v>104</v>
      </c>
      <c r="G11" t="s">
        <v>138</v>
      </c>
      <c r="H11" t="s">
        <v>169</v>
      </c>
      <c r="I11" t="s">
        <v>216</v>
      </c>
      <c r="J11" t="s">
        <v>244</v>
      </c>
      <c r="K11" t="s">
        <v>292</v>
      </c>
      <c r="L11" t="s">
        <v>320</v>
      </c>
      <c r="M11" t="s">
        <v>346</v>
      </c>
      <c r="N11" t="s">
        <v>372</v>
      </c>
      <c r="O11" t="s">
        <v>421</v>
      </c>
      <c r="P11" t="s">
        <v>464</v>
      </c>
      <c r="S11" s="8" t="s">
        <v>590</v>
      </c>
      <c r="T11" s="8" t="s">
        <v>538</v>
      </c>
    </row>
    <row r="12" spans="2:23">
      <c r="B12" s="93"/>
      <c r="D12" s="12">
        <v>1</v>
      </c>
      <c r="E12">
        <f>COUNTIF(Hory!P:P,"1")</f>
        <v>6</v>
      </c>
      <c r="F12">
        <f>COUNTIF(Zavolej!P:P,"1")</f>
        <v>2</v>
      </c>
      <c r="G12">
        <f>COUNTIF(Ještě_jaro!P:P,"1")</f>
        <v>4</v>
      </c>
      <c r="H12">
        <f>COUNTIF(Ženy_na_ohnici!P:P,"1")</f>
        <v>6</v>
      </c>
      <c r="I12">
        <f>COUNTIF(Větroplach!P:P,"1")</f>
        <v>5</v>
      </c>
      <c r="J12">
        <f>COUNTIF(Na_hřbitově!P:P,"1")</f>
        <v>5</v>
      </c>
      <c r="K12">
        <f>COUNTIF(Rekonvalescent!P:P,"1")</f>
        <v>3</v>
      </c>
      <c r="L12">
        <f>COUNTIF(Píseň_o_studni!P:P,"1")</f>
        <v>2</v>
      </c>
      <c r="M12">
        <f>COUNTIF(Spáči_mluví_ze_sna!P:P,"1")</f>
        <v>8</v>
      </c>
      <c r="N12">
        <f>COUNTIF(Kvetoucí_mohyla!P:P,"1")</f>
        <v>4</v>
      </c>
      <c r="O12">
        <f>COUNTIF(Slunovrat!P:P,"1")</f>
        <v>5</v>
      </c>
      <c r="P12">
        <f>COUNTIF(Hromnice_hoří!P:P,"1")</f>
        <v>2</v>
      </c>
      <c r="R12" s="12">
        <v>1</v>
      </c>
      <c r="S12">
        <f>SUM(E12:P12)</f>
        <v>52</v>
      </c>
      <c r="T12" s="9">
        <f>S12/$S$16</f>
        <v>0.37410071942446044</v>
      </c>
    </row>
    <row r="13" spans="2:23">
      <c r="B13" s="94"/>
      <c r="D13" s="12">
        <v>2</v>
      </c>
      <c r="E13">
        <f>COUNTIF(Hory!P:P,"2")</f>
        <v>6</v>
      </c>
      <c r="F13">
        <f>COUNTIF(Zavolej!P:P,"2")</f>
        <v>4</v>
      </c>
      <c r="G13">
        <f>COUNTIF(Ještě_jaro!P:P,"2")</f>
        <v>4</v>
      </c>
      <c r="H13">
        <f>COUNTIF(Ženy_na_ohnici!P:P,"2")</f>
        <v>7</v>
      </c>
      <c r="I13">
        <f>COUNTIF(Větroplach!P:P,"2")</f>
        <v>5</v>
      </c>
      <c r="J13">
        <f>COUNTIF(Na_hřbitově!P:P,"2")</f>
        <v>10</v>
      </c>
      <c r="K13">
        <f>COUNTIF(Rekonvalescent!P:P,"2")</f>
        <v>7</v>
      </c>
      <c r="L13">
        <f>COUNTIF(Píseň_o_studni!P:P,"2")</f>
        <v>8</v>
      </c>
      <c r="M13">
        <f>COUNTIF(Spáči_mluví_ze_sna!P:P,"2")</f>
        <v>2</v>
      </c>
      <c r="N13">
        <f>COUNTIF(Kvetoucí_mohyla!P:P,"2")</f>
        <v>11</v>
      </c>
      <c r="O13">
        <f>COUNTIF(Slunovrat!P:P,"2")</f>
        <v>6</v>
      </c>
      <c r="P13">
        <f>COUNTIF(Hromnice_hoří!P:P,"2")</f>
        <v>17</v>
      </c>
      <c r="R13" s="12">
        <v>2</v>
      </c>
      <c r="S13">
        <f>SUM(E13:P13)</f>
        <v>87</v>
      </c>
      <c r="T13" s="9">
        <f>S13/$S$16</f>
        <v>0.62589928057553956</v>
      </c>
    </row>
    <row r="14" spans="2:23">
      <c r="D14" s="12"/>
      <c r="R14" s="12"/>
      <c r="T14" s="9"/>
    </row>
    <row r="16" spans="2:23">
      <c r="R16" t="s">
        <v>591</v>
      </c>
      <c r="S16">
        <f>SUM(S12:S14)</f>
        <v>139</v>
      </c>
    </row>
    <row r="17" spans="2:21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</row>
    <row r="19" spans="2:21" ht="14.45" customHeight="1">
      <c r="B19" s="92" t="s">
        <v>592</v>
      </c>
      <c r="E19" t="s">
        <v>7</v>
      </c>
      <c r="F19" t="s">
        <v>104</v>
      </c>
      <c r="G19" t="s">
        <v>138</v>
      </c>
      <c r="H19" t="s">
        <v>169</v>
      </c>
      <c r="I19" t="s">
        <v>216</v>
      </c>
      <c r="J19" t="s">
        <v>244</v>
      </c>
      <c r="K19" t="s">
        <v>292</v>
      </c>
      <c r="L19" t="s">
        <v>320</v>
      </c>
      <c r="M19" t="s">
        <v>346</v>
      </c>
      <c r="N19" t="s">
        <v>372</v>
      </c>
      <c r="O19" t="s">
        <v>421</v>
      </c>
      <c r="P19" t="s">
        <v>464</v>
      </c>
      <c r="S19" s="8" t="s">
        <v>590</v>
      </c>
      <c r="T19" s="8" t="s">
        <v>538</v>
      </c>
    </row>
    <row r="20" spans="2:21">
      <c r="B20" s="93"/>
      <c r="D20" s="12" t="s">
        <v>593</v>
      </c>
      <c r="E20">
        <f>COUNTIF(Hory!Q:Q,"O")</f>
        <v>9</v>
      </c>
      <c r="F20">
        <f>COUNTIF(Zavolej!Q:Q,"O")</f>
        <v>4</v>
      </c>
      <c r="G20">
        <f>COUNTIF(Ještě_jaro!Q:Q,"O")</f>
        <v>4</v>
      </c>
      <c r="H20">
        <f>COUNTIF(Ženy_na_ohnici!Q:Q,"O")</f>
        <v>8</v>
      </c>
      <c r="I20">
        <f>COUNTIF(Větroplach!Q:Q,"O")</f>
        <v>1</v>
      </c>
      <c r="J20">
        <f>COUNTIF(Na_hřbitově!Q:Q,"O")</f>
        <v>11</v>
      </c>
      <c r="K20">
        <f>COUNTIF(Rekonvalescent!Q:Q,"O")</f>
        <v>7</v>
      </c>
      <c r="L20">
        <f>COUNTIF(Píseň_o_studni!Q:Q,"O")</f>
        <v>9</v>
      </c>
      <c r="M20">
        <f>COUNTIF(Spáči_mluví_ze_sna!Q:Q,"O")</f>
        <v>5</v>
      </c>
      <c r="N20">
        <f>COUNTIF(Kvetoucí_mohyla!Q:Q,"O")</f>
        <v>11</v>
      </c>
      <c r="O20">
        <f>COUNTIF(Slunovrat!Q:Q,"O")</f>
        <v>6</v>
      </c>
      <c r="P20">
        <f>COUNTIF(Hromnice_hoří!Q:Q,"O")</f>
        <v>16</v>
      </c>
      <c r="R20" s="12" t="s">
        <v>593</v>
      </c>
      <c r="S20">
        <f>SUM(E20:P20)</f>
        <v>91</v>
      </c>
      <c r="T20" s="9">
        <f>S20/$S$24</f>
        <v>0.65467625899280579</v>
      </c>
    </row>
    <row r="21" spans="2:21">
      <c r="B21" s="94"/>
      <c r="D21" s="12" t="s">
        <v>594</v>
      </c>
      <c r="E21">
        <f>COUNTIF(Hory!Q:Q,"Z")</f>
        <v>3</v>
      </c>
      <c r="F21">
        <f>COUNTIF(Zavolej!Q:Q,"Z")</f>
        <v>2</v>
      </c>
      <c r="G21">
        <f>COUNTIF(Ještě_jaro!Q:Q,"Z")</f>
        <v>4</v>
      </c>
      <c r="H21">
        <f>COUNTIF(Ženy_na_ohnici!Q:Q,"Z")</f>
        <v>5</v>
      </c>
      <c r="I21">
        <f>COUNTIF(Větroplach!Q:Q,"Z")</f>
        <v>9</v>
      </c>
      <c r="J21">
        <f>COUNTIF(Na_hřbitově!Q:Q,"Z")</f>
        <v>4</v>
      </c>
      <c r="K21">
        <f>COUNTIF(Rekonvalescent!Q:Q,"Z")</f>
        <v>3</v>
      </c>
      <c r="L21">
        <f>COUNTIF(Píseň_o_studni!Q:Q,"Z")</f>
        <v>1</v>
      </c>
      <c r="M21">
        <f>COUNTIF(Spáči_mluví_ze_sna!Q:Q,"Z")</f>
        <v>5</v>
      </c>
      <c r="N21">
        <f>COUNTIF(Kvetoucí_mohyla!Q:Q,"Z")</f>
        <v>4</v>
      </c>
      <c r="O21">
        <f>COUNTIF(Slunovrat!Q:Q,"Z")</f>
        <v>5</v>
      </c>
      <c r="P21">
        <f>COUNTIF(Hromnice_hoří!Q:Q,"Z")</f>
        <v>3</v>
      </c>
      <c r="R21" s="12" t="s">
        <v>594</v>
      </c>
      <c r="S21">
        <f>SUM(E21:P21)</f>
        <v>48</v>
      </c>
      <c r="T21" s="9">
        <f>S21/$S$24</f>
        <v>0.34532374100719426</v>
      </c>
    </row>
    <row r="22" spans="2:21">
      <c r="D22" s="12"/>
      <c r="R22" s="12"/>
      <c r="T22" s="9"/>
    </row>
    <row r="24" spans="2:21">
      <c r="R24" t="s">
        <v>591</v>
      </c>
      <c r="S24">
        <f>SUM(S20:S22)</f>
        <v>139</v>
      </c>
    </row>
    <row r="25" spans="2:21">
      <c r="B25" s="15"/>
      <c r="C25" s="15"/>
      <c r="D25" s="16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</row>
    <row r="26" spans="2:21">
      <c r="D26" s="12"/>
    </row>
    <row r="27" spans="2:21">
      <c r="B27" s="92" t="s">
        <v>10</v>
      </c>
      <c r="E27" t="s">
        <v>7</v>
      </c>
      <c r="F27" t="s">
        <v>104</v>
      </c>
      <c r="G27" s="11" t="s">
        <v>138</v>
      </c>
      <c r="H27" t="s">
        <v>169</v>
      </c>
      <c r="I27" t="s">
        <v>216</v>
      </c>
      <c r="J27" t="s">
        <v>244</v>
      </c>
      <c r="K27" t="s">
        <v>292</v>
      </c>
      <c r="L27" t="s">
        <v>320</v>
      </c>
      <c r="M27" t="s">
        <v>346</v>
      </c>
      <c r="N27" t="s">
        <v>372</v>
      </c>
      <c r="O27" t="s">
        <v>421</v>
      </c>
      <c r="P27" t="s">
        <v>464</v>
      </c>
      <c r="S27" s="8" t="s">
        <v>590</v>
      </c>
      <c r="T27" s="8" t="s">
        <v>538</v>
      </c>
    </row>
    <row r="28" spans="2:21">
      <c r="B28" s="93"/>
      <c r="D28" t="s">
        <v>45</v>
      </c>
      <c r="E28">
        <f>COUNTIF(Hory!R:R,"M")</f>
        <v>5</v>
      </c>
      <c r="F28">
        <f>COUNTIF(Zavolej!R:R,"M")</f>
        <v>3</v>
      </c>
      <c r="G28">
        <f>COUNTIF(Ještě_jaro!R:R,"M")</f>
        <v>6</v>
      </c>
      <c r="H28">
        <f>COUNTIF(Ženy_na_ohnici!R:R,"M")</f>
        <v>5</v>
      </c>
      <c r="I28">
        <f>COUNTIF(Větroplach!R:R,"M")</f>
        <v>5</v>
      </c>
      <c r="J28">
        <f>COUNTIF(Na_hřbitově!R:R,"M")</f>
        <v>5</v>
      </c>
      <c r="K28">
        <f>COUNTIF(Rekonvalescent!R:R,"M")</f>
        <v>3</v>
      </c>
      <c r="L28">
        <f>COUNTIF(Píseň_o_studni!R:R,"M")</f>
        <v>4</v>
      </c>
      <c r="M28">
        <f>COUNTIF(Spáči_mluví_ze_sna!R:R,"M")</f>
        <v>6</v>
      </c>
      <c r="N28">
        <f>COUNTIF(Kvetoucí_mohyla!R:R,"M")</f>
        <v>6</v>
      </c>
      <c r="O28">
        <f>COUNTIF(Slunovrat!R:R,"M")</f>
        <v>3</v>
      </c>
      <c r="P28">
        <f>COUNTIF(Hromnice_hoří!R:R,"M")</f>
        <v>5</v>
      </c>
      <c r="R28" t="s">
        <v>45</v>
      </c>
      <c r="S28">
        <f>SUM(E28:P28)</f>
        <v>56</v>
      </c>
      <c r="T28" s="9">
        <f>S28/$S$34</f>
        <v>0.40287769784172661</v>
      </c>
    </row>
    <row r="29" spans="2:21">
      <c r="B29" s="94"/>
      <c r="D29" t="s">
        <v>32</v>
      </c>
      <c r="E29">
        <f>COUNTIF(Hory!R:R,"Ž")</f>
        <v>6</v>
      </c>
      <c r="F29">
        <f>COUNTIF(Zavolej!R:R,"Ž")</f>
        <v>3</v>
      </c>
      <c r="G29">
        <f>COUNTIF(Ještě_jaro!R:R,"Ž")</f>
        <v>1</v>
      </c>
      <c r="H29">
        <f>COUNTIF(Ženy_na_ohnici!R:R,"Ž")</f>
        <v>7</v>
      </c>
      <c r="I29">
        <f>COUNTIF(Větroplach!R:R,"Ž")</f>
        <v>5</v>
      </c>
      <c r="J29">
        <f>COUNTIF(Na_hřbitově!R:R,"Ž")</f>
        <v>8</v>
      </c>
      <c r="K29">
        <f>COUNTIF(Rekonvalescent!R:R,"Ž")</f>
        <v>5</v>
      </c>
      <c r="L29">
        <f>COUNTIF(Píseň_o_studni!R:R,"Ž")</f>
        <v>5</v>
      </c>
      <c r="M29">
        <f>COUNTIF(Spáči_mluví_ze_sna!R:R,"Ž")</f>
        <v>1</v>
      </c>
      <c r="N29">
        <f>COUNTIF(Kvetoucí_mohyla!R:R,"Ž")</f>
        <v>8</v>
      </c>
      <c r="O29">
        <f>COUNTIF(Slunovrat!R:R,"Ž")</f>
        <v>5</v>
      </c>
      <c r="P29">
        <f>COUNTIF(Hromnice_hoří!R:R,"Ž")</f>
        <v>13</v>
      </c>
      <c r="R29" t="s">
        <v>32</v>
      </c>
      <c r="S29">
        <f>SUM(E29:P29)</f>
        <v>67</v>
      </c>
      <c r="T29" s="9">
        <f t="shared" ref="T29:T32" si="0">S29/$S$34</f>
        <v>0.48201438848920863</v>
      </c>
    </row>
    <row r="30" spans="2:21">
      <c r="D30" t="s">
        <v>455</v>
      </c>
      <c r="E30">
        <f>COUNTIF(Hory!R:R,"M/Ž")</f>
        <v>0</v>
      </c>
      <c r="F30">
        <f>COUNTIF(Zavolej!R:R,"M/Ž")</f>
        <v>0</v>
      </c>
      <c r="G30">
        <f>COUNTIF(Ještě_jaro!R:R,"M/Ž")</f>
        <v>0</v>
      </c>
      <c r="H30">
        <f>COUNTIF(Ženy_na_ohnici!R:R,"M/Ž")</f>
        <v>0</v>
      </c>
      <c r="I30">
        <f>COUNTIF(Větroplach!R:R,"M/Ž")</f>
        <v>0</v>
      </c>
      <c r="J30">
        <f>COUNTIF(Na_hřbitově!R:R,"M/Ž")</f>
        <v>0</v>
      </c>
      <c r="K30">
        <f>COUNTIF(Rekonvalescent!R:R,"M/Ž")</f>
        <v>0</v>
      </c>
      <c r="L30">
        <f>COUNTIF(Píseň_o_studni!R:R,"M/Ž")</f>
        <v>0</v>
      </c>
      <c r="M30">
        <f>COUNTIF(Spáči_mluví_ze_sna!R:R,"M/Ž")</f>
        <v>0</v>
      </c>
      <c r="N30">
        <f>COUNTIF(Kvetoucí_mohyla!R:R,"M/Ž")</f>
        <v>0</v>
      </c>
      <c r="O30">
        <f>COUNTIF(Slunovrat!R:R,"M/Ž")</f>
        <v>2</v>
      </c>
      <c r="P30">
        <f>COUNTIF(Hromnice_hoří!R:R,"M/Ž")</f>
        <v>0</v>
      </c>
      <c r="R30" t="s">
        <v>455</v>
      </c>
      <c r="S30">
        <f>SUM(E30:P30)</f>
        <v>2</v>
      </c>
      <c r="T30" s="9">
        <f t="shared" si="0"/>
        <v>1.4388489208633094E-2</v>
      </c>
    </row>
    <row r="31" spans="2:21">
      <c r="D31" t="s">
        <v>99</v>
      </c>
      <c r="E31">
        <f>COUNTIF(Hory!R:R,"A/M")</f>
        <v>1</v>
      </c>
      <c r="F31">
        <f>COUNTIF(Zavolej!R:R,"A/M")</f>
        <v>0</v>
      </c>
      <c r="G31">
        <f>COUNTIF(Ještě_jaro!R:R,"A/M")</f>
        <v>0</v>
      </c>
      <c r="H31">
        <f>COUNTIF(Ženy_na_ohnici!R:R,"A/M")</f>
        <v>1</v>
      </c>
      <c r="I31">
        <f>COUNTIF(Větroplach!R:R,"A/M")</f>
        <v>0</v>
      </c>
      <c r="J31">
        <f>COUNTIF(Na_hřbitově!R:R,"A/M")</f>
        <v>0</v>
      </c>
      <c r="K31">
        <f>COUNTIF(Rekonvalescent!R:R,"A/M")</f>
        <v>1</v>
      </c>
      <c r="L31">
        <f>COUNTIF(Píseň_o_studni!R:R,"A/M")</f>
        <v>1</v>
      </c>
      <c r="M31">
        <f>COUNTIF(Spáči_mluví_ze_sna!R:R,"A/M")</f>
        <v>1</v>
      </c>
      <c r="N31">
        <f>COUNTIF(Kvetoucí_mohyla!R:R,"A/M")</f>
        <v>0</v>
      </c>
      <c r="O31">
        <f>COUNTIF(Slunovrat!R:R,"A/M")</f>
        <v>1</v>
      </c>
      <c r="P31">
        <f>COUNTIF(Hromnice_hoří!R:R,"A/M")</f>
        <v>0</v>
      </c>
      <c r="R31" t="s">
        <v>99</v>
      </c>
      <c r="S31">
        <f>SUM(E31:P31)</f>
        <v>6</v>
      </c>
      <c r="T31" s="9">
        <f t="shared" si="0"/>
        <v>4.3165467625899283E-2</v>
      </c>
    </row>
    <row r="32" spans="2:21">
      <c r="D32" t="s">
        <v>146</v>
      </c>
      <c r="E32">
        <f>COUNTIF(Hory!R:R,"M/A")</f>
        <v>0</v>
      </c>
      <c r="F32">
        <f>COUNTIF(Zavolej!R:R,"M/A")</f>
        <v>0</v>
      </c>
      <c r="G32">
        <f>COUNTIF(Ještě_jaro!R:R,"M/A")</f>
        <v>1</v>
      </c>
      <c r="H32">
        <f>COUNTIF(Ženy_na_ohnici!R:R,"M/A")</f>
        <v>0</v>
      </c>
      <c r="I32">
        <f>COUNTIF(Větroplach!R:R,"M/A")</f>
        <v>0</v>
      </c>
      <c r="J32">
        <f>COUNTIF(Na_hřbitově!R:R,"M/A")</f>
        <v>2</v>
      </c>
      <c r="K32">
        <f>COUNTIF(Rekonvalescent!R:R,"M/A")</f>
        <v>1</v>
      </c>
      <c r="L32">
        <f>COUNTIF(Píseň_o_studni!R:R,"M/A")</f>
        <v>0</v>
      </c>
      <c r="M32">
        <f>COUNTIF(Spáči_mluví_ze_sna!R:R,"M/A")</f>
        <v>2</v>
      </c>
      <c r="N32">
        <f>COUNTIF(Kvetoucí_mohyla!R:R,"M/A")</f>
        <v>1</v>
      </c>
      <c r="O32">
        <f>COUNTIF(Slunovrat!R:R,"M/A")</f>
        <v>0</v>
      </c>
      <c r="P32">
        <f>COUNTIF(Hromnice_hoří!R:R,"M/A")</f>
        <v>1</v>
      </c>
      <c r="R32" t="s">
        <v>146</v>
      </c>
      <c r="S32">
        <f>SUM(E32:P32)</f>
        <v>8</v>
      </c>
      <c r="T32" s="9">
        <f t="shared" si="0"/>
        <v>5.7553956834532377E-2</v>
      </c>
    </row>
    <row r="33" spans="2:25">
      <c r="T33" s="9"/>
    </row>
    <row r="34" spans="2:25">
      <c r="R34" t="s">
        <v>591</v>
      </c>
      <c r="S34">
        <f>SUM(S28:S32)</f>
        <v>139</v>
      </c>
    </row>
    <row r="35" spans="2: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</row>
    <row r="37" spans="2:25" ht="14.45" customHeight="1">
      <c r="B37" s="92" t="s">
        <v>595</v>
      </c>
      <c r="E37" t="s">
        <v>7</v>
      </c>
      <c r="F37" t="s">
        <v>104</v>
      </c>
      <c r="G37" t="s">
        <v>138</v>
      </c>
      <c r="H37" t="s">
        <v>169</v>
      </c>
      <c r="I37" t="s">
        <v>216</v>
      </c>
      <c r="J37" t="s">
        <v>244</v>
      </c>
      <c r="K37" t="s">
        <v>292</v>
      </c>
      <c r="L37" t="s">
        <v>320</v>
      </c>
      <c r="M37" t="s">
        <v>346</v>
      </c>
      <c r="N37" t="s">
        <v>372</v>
      </c>
      <c r="O37" t="s">
        <v>421</v>
      </c>
      <c r="P37" t="s">
        <v>464</v>
      </c>
      <c r="S37" s="8" t="s">
        <v>590</v>
      </c>
      <c r="T37" s="8" t="s">
        <v>538</v>
      </c>
    </row>
    <row r="38" spans="2:25">
      <c r="B38" s="93"/>
      <c r="D38" s="12">
        <v>1</v>
      </c>
      <c r="E38">
        <f>COUNTIF(Hory!S:T,"1")</f>
        <v>7</v>
      </c>
      <c r="F38">
        <f>COUNTIF(Zavolej!S:T,"1")</f>
        <v>3</v>
      </c>
      <c r="G38">
        <f>COUNTIF(Ještě_jaro!S:T,"1")</f>
        <v>6</v>
      </c>
      <c r="H38">
        <f>COUNTIF(Ženy_na_ohnici!S:T,"1")</f>
        <v>7</v>
      </c>
      <c r="I38">
        <f>COUNTIF(Větroplach!S:T,"1")</f>
        <v>7</v>
      </c>
      <c r="J38">
        <f>COUNTIF(Na_hřbitově!S:T,"1")</f>
        <v>6</v>
      </c>
      <c r="K38">
        <f>COUNTIF(Rekonvalescent!S:T,"1")</f>
        <v>5</v>
      </c>
      <c r="L38">
        <f>COUNTIF(Píseň_o_studni!S:T,"1")</f>
        <v>2</v>
      </c>
      <c r="M38">
        <f>COUNTIF(Spáči_mluví_ze_sna!S:T,"1")</f>
        <v>12</v>
      </c>
      <c r="N38">
        <f>COUNTIF(Kvetoucí_mohyla!S:T,"1")</f>
        <v>8</v>
      </c>
      <c r="O38">
        <f>COUNTIF(Slunovrat!S:T,"1")</f>
        <v>10</v>
      </c>
      <c r="P38">
        <f>COUNTIF(Hromnice_hoří!S:T,"1")</f>
        <v>3</v>
      </c>
      <c r="R38" s="12">
        <v>1</v>
      </c>
      <c r="S38">
        <f t="shared" ref="S38:S43" si="1">SUM(E38:P38)</f>
        <v>76</v>
      </c>
      <c r="T38" s="9">
        <f t="shared" ref="T38:T43" si="2">S38/$S$45</f>
        <v>0.2733812949640288</v>
      </c>
    </row>
    <row r="39" spans="2:25">
      <c r="B39" s="94"/>
      <c r="D39" s="12">
        <v>2</v>
      </c>
      <c r="E39">
        <f>COUNTIF(Hory!S:T,"2")</f>
        <v>7</v>
      </c>
      <c r="F39">
        <f>COUNTIF(Zavolej!S:T,"2")</f>
        <v>2</v>
      </c>
      <c r="G39">
        <f>COUNTIF(Ještě_jaro!S:T,"2")</f>
        <v>2</v>
      </c>
      <c r="H39">
        <f>COUNTIF(Ženy_na_ohnici!S:T,"2")</f>
        <v>9</v>
      </c>
      <c r="I39">
        <f>COUNTIF(Větroplach!S:T,"2")</f>
        <v>9</v>
      </c>
      <c r="J39">
        <f>COUNTIF(Na_hřbitově!S:T,"2")</f>
        <v>14</v>
      </c>
      <c r="K39">
        <f>COUNTIF(Rekonvalescent!S:T,"2")</f>
        <v>5</v>
      </c>
      <c r="L39">
        <f>COUNTIF(Píseň_o_studni!S:T,"2")</f>
        <v>4</v>
      </c>
      <c r="M39">
        <f>COUNTIF(Spáči_mluví_ze_sna!S:T,"2")</f>
        <v>0</v>
      </c>
      <c r="N39">
        <f>COUNTIF(Kvetoucí_mohyla!S:T,"2")</f>
        <v>9</v>
      </c>
      <c r="O39">
        <f>COUNTIF(Slunovrat!S:T,"2")</f>
        <v>5</v>
      </c>
      <c r="P39">
        <f>COUNTIF(Hromnice_hoří!S:T,"2")</f>
        <v>21</v>
      </c>
      <c r="R39" s="12">
        <v>2</v>
      </c>
      <c r="S39">
        <f t="shared" si="1"/>
        <v>87</v>
      </c>
      <c r="T39" s="9">
        <f t="shared" si="2"/>
        <v>0.31294964028776978</v>
      </c>
    </row>
    <row r="40" spans="2:25">
      <c r="D40" s="12">
        <v>3</v>
      </c>
      <c r="E40">
        <f>COUNTIF(Hory!S:T,"3")</f>
        <v>5</v>
      </c>
      <c r="F40">
        <f>COUNTIF(Zavolej!S:T,"3")</f>
        <v>3</v>
      </c>
      <c r="G40">
        <f>COUNTIF(Ještě_jaro!S:T,"3")</f>
        <v>8</v>
      </c>
      <c r="H40">
        <f>COUNTIF(Ženy_na_ohnici!S:T,"3")</f>
        <v>5</v>
      </c>
      <c r="I40">
        <f>COUNTIF(Větroplach!S:T,"3")</f>
        <v>3</v>
      </c>
      <c r="J40">
        <f>COUNTIF(Na_hřbitově!S:T,"3")</f>
        <v>8</v>
      </c>
      <c r="K40">
        <f>COUNTIF(Rekonvalescent!S:T,"3")</f>
        <v>5</v>
      </c>
      <c r="L40">
        <f>COUNTIF(Píseň_o_studni!S:T,"3")</f>
        <v>8</v>
      </c>
      <c r="M40">
        <f>COUNTIF(Spáči_mluví_ze_sna!S:T,"3")</f>
        <v>8</v>
      </c>
      <c r="N40">
        <f>COUNTIF(Kvetoucí_mohyla!S:T,"3")</f>
        <v>6</v>
      </c>
      <c r="O40">
        <f>COUNTIF(Slunovrat!S:T,"3")</f>
        <v>2</v>
      </c>
      <c r="P40">
        <f>COUNTIF(Hromnice_hoří!S:T,"3")</f>
        <v>9</v>
      </c>
      <c r="R40" s="12">
        <v>3</v>
      </c>
      <c r="S40">
        <f t="shared" si="1"/>
        <v>70</v>
      </c>
      <c r="T40" s="9">
        <f t="shared" si="2"/>
        <v>0.25179856115107913</v>
      </c>
    </row>
    <row r="41" spans="2:25">
      <c r="D41" s="12">
        <v>4</v>
      </c>
      <c r="E41">
        <f>COUNTIF(Hory!S:T,"4")</f>
        <v>5</v>
      </c>
      <c r="F41">
        <f>COUNTIF(Zavolej!S:T,"4")</f>
        <v>4</v>
      </c>
      <c r="G41">
        <f>COUNTIF(Ještě_jaro!S:T,"4")</f>
        <v>0</v>
      </c>
      <c r="H41">
        <f>COUNTIF(Ženy_na_ohnici!S:T,"4")</f>
        <v>5</v>
      </c>
      <c r="I41">
        <f>COUNTIF(Větroplach!S:T,"4")</f>
        <v>0</v>
      </c>
      <c r="J41">
        <f>COUNTIF(Na_hřbitově!S:T,"4")</f>
        <v>1</v>
      </c>
      <c r="K41">
        <f>COUNTIF(Rekonvalescent!S:T,"4")</f>
        <v>5</v>
      </c>
      <c r="L41">
        <f>COUNTIF(Píseň_o_studni!S:T,"4")</f>
        <v>6</v>
      </c>
      <c r="M41">
        <f>COUNTIF(Spáči_mluví_ze_sna!S:T,"4")</f>
        <v>0</v>
      </c>
      <c r="N41">
        <f>COUNTIF(Kvetoucí_mohyla!S:T,"4")</f>
        <v>6</v>
      </c>
      <c r="O41">
        <f>COUNTIF(Slunovrat!S:T,"4")</f>
        <v>5</v>
      </c>
      <c r="P41">
        <f>COUNTIF(Hromnice_hoří!S:T,"4")</f>
        <v>4</v>
      </c>
      <c r="R41" s="12">
        <v>4</v>
      </c>
      <c r="S41">
        <f t="shared" si="1"/>
        <v>41</v>
      </c>
      <c r="T41" s="9">
        <f t="shared" si="2"/>
        <v>0.14748201438848921</v>
      </c>
    </row>
    <row r="42" spans="2:25">
      <c r="D42" s="12">
        <v>5</v>
      </c>
      <c r="E42">
        <f>COUNTIF(Hory!S:T,"5")</f>
        <v>0</v>
      </c>
      <c r="F42">
        <f>COUNTIF(Zavolej!S:T,"5")</f>
        <v>0</v>
      </c>
      <c r="G42">
        <f>COUNTIF(Ještě_jaro!S:T,"5")</f>
        <v>0</v>
      </c>
      <c r="H42">
        <f>COUNTIF(Ženy_na_ohnici!S:T,"5")</f>
        <v>0</v>
      </c>
      <c r="I42">
        <f>COUNTIF(Větroplach!S:T,"5")</f>
        <v>1</v>
      </c>
      <c r="J42">
        <f>COUNTIF(Na_hřbitově!S:T,"5")</f>
        <v>0</v>
      </c>
      <c r="K42">
        <f>COUNTIF(Rekonvalescent!S:T,"5")</f>
        <v>0</v>
      </c>
      <c r="L42">
        <f>COUNTIF(Píseň_o_studni!S:T,"5")</f>
        <v>0</v>
      </c>
      <c r="M42">
        <f>COUNTIF(Spáči_mluví_ze_sna!S:T,"5")</f>
        <v>0</v>
      </c>
      <c r="N42">
        <f>COUNTIF(Kvetoucí_mohyla!S:T,"5")</f>
        <v>0</v>
      </c>
      <c r="O42">
        <f>COUNTIF(Slunovrat!S:T,"5")</f>
        <v>0</v>
      </c>
      <c r="P42">
        <f>COUNTIF(Hromnice_hoří!S:T,"5")</f>
        <v>1</v>
      </c>
      <c r="R42" s="12">
        <v>5</v>
      </c>
      <c r="S42">
        <f t="shared" si="1"/>
        <v>2</v>
      </c>
      <c r="T42" s="9">
        <f t="shared" si="2"/>
        <v>7.1942446043165471E-3</v>
      </c>
    </row>
    <row r="43" spans="2:25">
      <c r="D43" s="12">
        <v>6</v>
      </c>
      <c r="E43">
        <f>COUNTIF(Hory!S:T,"6")</f>
        <v>0</v>
      </c>
      <c r="F43">
        <f>COUNTIF(Zavolej!S:T,"6")</f>
        <v>0</v>
      </c>
      <c r="G43">
        <f>COUNTIF(Ještě_jaro!S:T,"6")</f>
        <v>0</v>
      </c>
      <c r="H43">
        <f>COUNTIF(Ženy_na_ohnici!S:T,"6")</f>
        <v>0</v>
      </c>
      <c r="I43">
        <f>COUNTIF(Větroplach!S:T,"6")</f>
        <v>0</v>
      </c>
      <c r="J43">
        <f>COUNTIF(Na_hřbitově!S:T,"6")</f>
        <v>1</v>
      </c>
      <c r="K43">
        <f>COUNTIF(Rekonvalescent!S:T,"6")</f>
        <v>0</v>
      </c>
      <c r="L43">
        <f>COUNTIF(Píseň_o_studni!S:T,"6")</f>
        <v>0</v>
      </c>
      <c r="M43">
        <f>COUNTIF(Spáči_mluví_ze_sna!S:T,"6")</f>
        <v>0</v>
      </c>
      <c r="N43">
        <f>COUNTIF(Kvetoucí_mohyla!S:T,"6")</f>
        <v>1</v>
      </c>
      <c r="O43">
        <f>COUNTIF(Slunovrat!S:T,"6")</f>
        <v>0</v>
      </c>
      <c r="P43">
        <f>COUNTIF(Hromnice_hoří!S:T,"6")</f>
        <v>0</v>
      </c>
      <c r="R43" s="12">
        <v>6</v>
      </c>
      <c r="S43">
        <f t="shared" si="1"/>
        <v>2</v>
      </c>
      <c r="T43" s="9">
        <f t="shared" si="2"/>
        <v>7.1942446043165471E-3</v>
      </c>
    </row>
    <row r="45" spans="2:25">
      <c r="R45" t="s">
        <v>591</v>
      </c>
      <c r="S45">
        <f>SUM(S38:S43)</f>
        <v>278</v>
      </c>
    </row>
    <row r="46" spans="2:25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8" spans="2:25" ht="14.45" customHeight="1">
      <c r="B48" s="92" t="s">
        <v>66</v>
      </c>
      <c r="E48" t="s">
        <v>7</v>
      </c>
      <c r="F48" t="s">
        <v>104</v>
      </c>
      <c r="G48" t="s">
        <v>138</v>
      </c>
      <c r="H48" t="s">
        <v>169</v>
      </c>
      <c r="I48" t="s">
        <v>216</v>
      </c>
      <c r="J48" t="s">
        <v>244</v>
      </c>
      <c r="K48" t="s">
        <v>292</v>
      </c>
      <c r="L48" t="s">
        <v>320</v>
      </c>
      <c r="M48" t="s">
        <v>346</v>
      </c>
      <c r="N48" t="s">
        <v>372</v>
      </c>
      <c r="O48" t="s">
        <v>421</v>
      </c>
      <c r="P48" t="s">
        <v>464</v>
      </c>
      <c r="S48" s="8" t="s">
        <v>590</v>
      </c>
      <c r="T48" s="8" t="s">
        <v>538</v>
      </c>
      <c r="W48" s="8" t="s">
        <v>590</v>
      </c>
      <c r="X48" s="8" t="s">
        <v>538</v>
      </c>
    </row>
    <row r="49" spans="2:31">
      <c r="B49" s="93"/>
      <c r="D49" s="13" t="s">
        <v>596</v>
      </c>
      <c r="E49">
        <f>COUNTIF(Hory!U:U,"1/1")</f>
        <v>1</v>
      </c>
      <c r="F49">
        <f>COUNTIF(Zavolej!U:U,"1/1")</f>
        <v>1</v>
      </c>
      <c r="G49">
        <f>COUNTIF(Ještě_jaro!U:U,"1/1")</f>
        <v>2</v>
      </c>
      <c r="H49">
        <f>COUNTIF(Ženy_na_ohnici!U:U,"1/1")</f>
        <v>1</v>
      </c>
      <c r="I49">
        <f>COUNTIF(Větroplach!U:U,"1/1")</f>
        <v>2</v>
      </c>
      <c r="J49">
        <f>COUNTIF(Na_hřbitově!U:U,"1/1")</f>
        <v>1</v>
      </c>
      <c r="K49">
        <f>COUNTIF(Rekonvalescent!U:U,"1/1")</f>
        <v>2</v>
      </c>
      <c r="L49">
        <f>COUNTIF(Píseň_o_studni!U:U,"1/1")</f>
        <v>1</v>
      </c>
      <c r="M49">
        <f>COUNTIF(Spáči_mluví_ze_sna!U:U,"1/1")</f>
        <v>4</v>
      </c>
      <c r="N49">
        <f>COUNTIF(Kvetoucí_mohyla!U:U,"1/1")</f>
        <v>4</v>
      </c>
      <c r="O49">
        <f>COUNTIF(Slunovrat!U:U,"1/1")</f>
        <v>5</v>
      </c>
      <c r="P49">
        <f>COUNTIF(Hromnice_hoří!U:U,"1/1")</f>
        <v>1</v>
      </c>
      <c r="R49" s="13" t="s">
        <v>596</v>
      </c>
      <c r="S49">
        <f t="shared" ref="S49:S59" si="3">SUM(E49:P49)</f>
        <v>25</v>
      </c>
      <c r="T49" s="9">
        <f t="shared" ref="T49:T59" si="4">S49/$S$61</f>
        <v>0.17985611510791366</v>
      </c>
      <c r="V49" t="s">
        <v>597</v>
      </c>
      <c r="W49">
        <f>S49+S51+S56</f>
        <v>76</v>
      </c>
      <c r="X49" s="9">
        <f>W49/$W$54</f>
        <v>0.5467625899280576</v>
      </c>
      <c r="AE49" s="5"/>
    </row>
    <row r="50" spans="2:31">
      <c r="B50" s="94"/>
      <c r="D50" s="13" t="s">
        <v>598</v>
      </c>
      <c r="E50">
        <f>COUNTIF(Hory!U:U,"1/3")</f>
        <v>0</v>
      </c>
      <c r="F50">
        <f>COUNTIF(Zavolej!U:U,"1/3")</f>
        <v>0</v>
      </c>
      <c r="G50">
        <f>COUNTIF(Ještě_jaro!U:U,"1/3")</f>
        <v>1</v>
      </c>
      <c r="H50">
        <f>COUNTIF(Ženy_na_ohnici!U:U,"1/3")</f>
        <v>0</v>
      </c>
      <c r="I50">
        <f>COUNTIF(Větroplach!U:U,"1/3")</f>
        <v>2</v>
      </c>
      <c r="J50">
        <f>COUNTIF(Na_hřbitově!U:U,"1/3")</f>
        <v>3</v>
      </c>
      <c r="K50">
        <f>COUNTIF(Rekonvalescent!U:U,"1/3")</f>
        <v>0</v>
      </c>
      <c r="L50">
        <f>COUNTIF(Píseň_o_studni!U:U,"1/3")</f>
        <v>0</v>
      </c>
      <c r="M50">
        <f>COUNTIF(Spáči_mluví_ze_sna!U:U,"1/3")</f>
        <v>2</v>
      </c>
      <c r="N50">
        <f>COUNTIF(Kvetoucí_mohyla!U:U,"1/3")</f>
        <v>0</v>
      </c>
      <c r="O50">
        <f>COUNTIF(Slunovrat!U:U,"1/3")</f>
        <v>0</v>
      </c>
      <c r="P50">
        <f>COUNTIF(Hromnice_hoří!U:U,"1/3")</f>
        <v>1</v>
      </c>
      <c r="R50" s="13" t="s">
        <v>598</v>
      </c>
      <c r="S50">
        <f t="shared" si="3"/>
        <v>9</v>
      </c>
      <c r="T50" s="9">
        <f t="shared" si="4"/>
        <v>6.4748201438848921E-2</v>
      </c>
      <c r="V50" s="13" t="s">
        <v>599</v>
      </c>
      <c r="W50">
        <f>S58</f>
        <v>7</v>
      </c>
      <c r="X50" s="9">
        <f>W50/$W$54</f>
        <v>5.0359712230215826E-2</v>
      </c>
      <c r="AE50" s="5"/>
    </row>
    <row r="51" spans="2:31">
      <c r="D51" s="13" t="s">
        <v>600</v>
      </c>
      <c r="E51">
        <f>COUNTIF(Hory!U:U,"2/2")</f>
        <v>1</v>
      </c>
      <c r="F51">
        <f>COUNTIF(Zavolej!U:U,"2/2")</f>
        <v>0</v>
      </c>
      <c r="G51">
        <f>COUNTIF(Ještě_jaro!U:U,"2/2")</f>
        <v>1</v>
      </c>
      <c r="H51">
        <f>COUNTIF(Ženy_na_ohnici!U:U,"2/2")</f>
        <v>3</v>
      </c>
      <c r="I51">
        <f>COUNTIF(Větroplach!U:U,"2/2")</f>
        <v>4</v>
      </c>
      <c r="J51">
        <f>COUNTIF(Na_hřbitově!U:U,"2/2")</f>
        <v>6</v>
      </c>
      <c r="K51">
        <f>COUNTIF(Rekonvalescent!U:U,"2/2")</f>
        <v>2</v>
      </c>
      <c r="L51">
        <f>COUNTIF(Píseň_o_studni!U:U,"2/2")</f>
        <v>0</v>
      </c>
      <c r="M51">
        <f>COUNTIF(Spáči_mluví_ze_sna!U:U,"2/2")</f>
        <v>0</v>
      </c>
      <c r="N51">
        <f>COUNTIF(Kvetoucí_mohyla!U:U,"2/2")</f>
        <v>3</v>
      </c>
      <c r="O51">
        <f>COUNTIF(Slunovrat!U:U,"2/2")</f>
        <v>1</v>
      </c>
      <c r="P51">
        <f>COUNTIF(Hromnice_hoří!U:U,"2/2")</f>
        <v>8</v>
      </c>
      <c r="R51" s="13" t="s">
        <v>600</v>
      </c>
      <c r="S51">
        <f t="shared" si="3"/>
        <v>29</v>
      </c>
      <c r="T51" s="9">
        <f t="shared" si="4"/>
        <v>0.20863309352517986</v>
      </c>
      <c r="V51" t="s">
        <v>601</v>
      </c>
      <c r="W51">
        <f>S55+S57+S59</f>
        <v>37</v>
      </c>
      <c r="X51" s="9">
        <f>W51/$W$54</f>
        <v>0.26618705035971224</v>
      </c>
      <c r="AE51" s="5"/>
    </row>
    <row r="52" spans="2:31">
      <c r="D52" s="13" t="s">
        <v>602</v>
      </c>
      <c r="E52">
        <f>COUNTIF(Hory!U:U,"2/4")</f>
        <v>0</v>
      </c>
      <c r="F52">
        <f>COUNTIF(Zavolej!U:U,"2/4")</f>
        <v>0</v>
      </c>
      <c r="G52">
        <f>COUNTIF(Ještě_jaro!U:U,"2/4")</f>
        <v>0</v>
      </c>
      <c r="H52">
        <f>COUNTIF(Ženy_na_ohnici!U:U,"2/4")</f>
        <v>1</v>
      </c>
      <c r="I52">
        <f>COUNTIF(Větroplach!U:U,"2/4")</f>
        <v>0</v>
      </c>
      <c r="J52">
        <f>COUNTIF(Na_hřbitově!U:U,"2/4")</f>
        <v>1</v>
      </c>
      <c r="K52">
        <f>COUNTIF(Rekonvalescent!U:U,"2/4")</f>
        <v>0</v>
      </c>
      <c r="L52">
        <f>COUNTIF(Píseň_o_studni!U:U,"2/4")</f>
        <v>3</v>
      </c>
      <c r="M52">
        <f>COUNTIF(Spáči_mluví_ze_sna!U:U,"2/4")</f>
        <v>0</v>
      </c>
      <c r="N52">
        <f>COUNTIF(Kvetoucí_mohyla!U:U,"2/4")</f>
        <v>1</v>
      </c>
      <c r="O52">
        <f>COUNTIF(Slunovrat!U:U,"2/4")</f>
        <v>0</v>
      </c>
      <c r="P52">
        <f>COUNTIF(Hromnice_hoří!U:U,"2/4")</f>
        <v>1</v>
      </c>
      <c r="R52" s="13" t="s">
        <v>602</v>
      </c>
      <c r="S52">
        <f t="shared" si="3"/>
        <v>7</v>
      </c>
      <c r="T52" s="9">
        <f t="shared" si="4"/>
        <v>5.0359712230215826E-2</v>
      </c>
      <c r="V52" t="s">
        <v>603</v>
      </c>
      <c r="W52">
        <f>S50+S52+S53+S54</f>
        <v>19</v>
      </c>
      <c r="X52" s="9">
        <f>W52/$W$54</f>
        <v>0.1366906474820144</v>
      </c>
      <c r="AE52" s="5"/>
    </row>
    <row r="53" spans="2:31">
      <c r="D53" s="13" t="s">
        <v>604</v>
      </c>
      <c r="E53">
        <f>COUNTIF(Hory!U:U,"2/5")</f>
        <v>0</v>
      </c>
      <c r="F53">
        <f>COUNTIF(Zavolej!U:U,"2/5")</f>
        <v>0</v>
      </c>
      <c r="G53">
        <f>COUNTIF(Ještě_jaro!U:U,"2/5")</f>
        <v>0</v>
      </c>
      <c r="H53">
        <f>COUNTIF(Ženy_na_ohnici!U:U,"2/5")</f>
        <v>0</v>
      </c>
      <c r="I53">
        <f>COUNTIF(Větroplach!U:U,"2/5")</f>
        <v>1</v>
      </c>
      <c r="J53">
        <f>COUNTIF(Na_hřbitově!U:U,"2/5")</f>
        <v>0</v>
      </c>
      <c r="K53">
        <f>COUNTIF(Rekonvalescent!U:U,"2/5")</f>
        <v>0</v>
      </c>
      <c r="L53">
        <f>COUNTIF(Píseň_o_studni!U:U,"2/5")</f>
        <v>0</v>
      </c>
      <c r="M53">
        <f>COUNTIF(Spáči_mluví_ze_sna!U:U,"2/5")</f>
        <v>0</v>
      </c>
      <c r="N53">
        <f>COUNTIF(Kvetoucí_mohyla!U:U,"2/5")</f>
        <v>0</v>
      </c>
      <c r="O53">
        <f>COUNTIF(Slunovrat!U:U,"2/5")</f>
        <v>0</v>
      </c>
      <c r="P53">
        <f>COUNTIF(Hromnice_hoří!U:U,"2/5")</f>
        <v>1</v>
      </c>
      <c r="R53" s="13" t="s">
        <v>604</v>
      </c>
      <c r="S53">
        <f t="shared" si="3"/>
        <v>2</v>
      </c>
      <c r="T53" s="9">
        <f t="shared" si="4"/>
        <v>1.4388489208633094E-2</v>
      </c>
      <c r="AE53" s="5"/>
    </row>
    <row r="54" spans="2:31">
      <c r="D54" s="13" t="s">
        <v>605</v>
      </c>
      <c r="E54">
        <f>COUNTIF(Hory!U:U,"2/6")</f>
        <v>0</v>
      </c>
      <c r="F54">
        <f>COUNTIF(Zavolej!U:U,"2/6")</f>
        <v>0</v>
      </c>
      <c r="G54">
        <f>COUNTIF(Ještě_jaro!U:U,"2/6")</f>
        <v>0</v>
      </c>
      <c r="H54">
        <f>COUNTIF(Ženy_na_ohnici!U:U,"2/6")</f>
        <v>0</v>
      </c>
      <c r="I54">
        <f>COUNTIF(Větroplach!U:U,"2/6")</f>
        <v>0</v>
      </c>
      <c r="J54">
        <f>COUNTIF(Na_hřbitově!U:U,"2/6")</f>
        <v>1</v>
      </c>
      <c r="K54">
        <f>COUNTIF(Rekonvalescent!U:U,"2/6")</f>
        <v>0</v>
      </c>
      <c r="L54">
        <f>COUNTIF(Píseň_o_studni!U:U,"2/6")</f>
        <v>0</v>
      </c>
      <c r="M54">
        <f>COUNTIF(Spáči_mluví_ze_sna!U:U,"2/6")</f>
        <v>0</v>
      </c>
      <c r="N54">
        <f>COUNTIF(Kvetoucí_mohyla!U:U,"2/6")</f>
        <v>0</v>
      </c>
      <c r="O54">
        <f>COUNTIF(Slunovrat!U:U,"2/6")</f>
        <v>0</v>
      </c>
      <c r="P54">
        <f>COUNTIF(Hromnice_hoří!U:U,"2/6")</f>
        <v>0</v>
      </c>
      <c r="R54" s="13" t="s">
        <v>605</v>
      </c>
      <c r="S54">
        <f t="shared" si="3"/>
        <v>1</v>
      </c>
      <c r="T54" s="9">
        <f t="shared" si="4"/>
        <v>7.1942446043165471E-3</v>
      </c>
      <c r="V54" t="s">
        <v>591</v>
      </c>
      <c r="W54">
        <f>SUM(W49:W52)</f>
        <v>139</v>
      </c>
      <c r="AE54" s="5"/>
    </row>
    <row r="55" spans="2:31">
      <c r="D55" s="13" t="s">
        <v>606</v>
      </c>
      <c r="E55">
        <f>COUNTIF(Hory!U:U,"3/1")</f>
        <v>5</v>
      </c>
      <c r="F55">
        <f>COUNTIF(Zavolej!U:U,"3/1")</f>
        <v>1</v>
      </c>
      <c r="G55">
        <f>COUNTIF(Ještě_jaro!U:U,"3/1")</f>
        <v>1</v>
      </c>
      <c r="H55">
        <f>COUNTIF(Ženy_na_ohnici!U:U,"3/1")</f>
        <v>5</v>
      </c>
      <c r="I55">
        <f>COUNTIF(Větroplach!U:U,"3/1")</f>
        <v>1</v>
      </c>
      <c r="J55">
        <f>COUNTIF(Na_hřbitově!U:U,"3/1")</f>
        <v>1</v>
      </c>
      <c r="K55">
        <f>COUNTIF(Rekonvalescent!U:U,"3/1")</f>
        <v>1</v>
      </c>
      <c r="L55">
        <f>COUNTIF(Píseň_o_studni!U:U,"3/1")</f>
        <v>0</v>
      </c>
      <c r="M55">
        <f>COUNTIF(Spáči_mluví_ze_sna!U:U,"3/1")</f>
        <v>2</v>
      </c>
      <c r="N55">
        <f>COUNTIF(Kvetoucí_mohyla!U:U,"3/1")</f>
        <v>0</v>
      </c>
      <c r="O55">
        <f>COUNTIF(Slunovrat!U:U,"3/1")</f>
        <v>0</v>
      </c>
      <c r="P55">
        <f>COUNTIF(Hromnice_hoří!U:U,"3/1")</f>
        <v>0</v>
      </c>
      <c r="R55" s="13" t="s">
        <v>606</v>
      </c>
      <c r="S55">
        <f t="shared" si="3"/>
        <v>17</v>
      </c>
      <c r="T55" s="9">
        <f t="shared" si="4"/>
        <v>0.1223021582733813</v>
      </c>
      <c r="AE55" s="5"/>
    </row>
    <row r="56" spans="2:31">
      <c r="D56" s="13" t="s">
        <v>607</v>
      </c>
      <c r="E56">
        <f>COUNTIF(Hory!U:U,"3/3")</f>
        <v>0</v>
      </c>
      <c r="F56">
        <f>COUNTIF(Zavolej!U:U,"3/3")</f>
        <v>1</v>
      </c>
      <c r="G56">
        <f>COUNTIF(Ještě_jaro!U:U,"3/3")</f>
        <v>3</v>
      </c>
      <c r="H56">
        <f>COUNTIF(Ženy_na_ohnici!U:U,"3/3")</f>
        <v>0</v>
      </c>
      <c r="I56">
        <f>COUNTIF(Větroplach!U:U,"3/3")</f>
        <v>0</v>
      </c>
      <c r="J56">
        <f>COUNTIF(Na_hřbitově!U:U,"3/3")</f>
        <v>2</v>
      </c>
      <c r="K56">
        <f>COUNTIF(Rekonvalescent!U:U,"3/3")</f>
        <v>2</v>
      </c>
      <c r="L56">
        <f>COUNTIF(Píseň_o_studni!U:U,"3/3")</f>
        <v>4</v>
      </c>
      <c r="M56">
        <f>COUNTIF(Spáči_mluví_ze_sna!U:U,"3/3")</f>
        <v>2</v>
      </c>
      <c r="N56">
        <f>COUNTIF(Kvetoucí_mohyla!U:U,"3/3")</f>
        <v>3</v>
      </c>
      <c r="O56">
        <f>COUNTIF(Slunovrat!U:U,"3/3")</f>
        <v>1</v>
      </c>
      <c r="P56">
        <f>COUNTIF(Hromnice_hoří!U:U,"3/3")</f>
        <v>4</v>
      </c>
      <c r="R56" s="13" t="s">
        <v>607</v>
      </c>
      <c r="S56">
        <f t="shared" si="3"/>
        <v>22</v>
      </c>
      <c r="T56" s="9">
        <f t="shared" si="4"/>
        <v>0.15827338129496402</v>
      </c>
      <c r="AE56" s="5"/>
    </row>
    <row r="57" spans="2:31">
      <c r="D57" s="13" t="s">
        <v>608</v>
      </c>
      <c r="E57">
        <f>COUNTIF(Hory!U:U,"4/2")</f>
        <v>5</v>
      </c>
      <c r="F57">
        <f>COUNTIF(Zavolej!U:U,"4/2")</f>
        <v>2</v>
      </c>
      <c r="G57">
        <f>COUNTIF(Ještě_jaro!U:U,"4/2")</f>
        <v>0</v>
      </c>
      <c r="H57">
        <f>COUNTIF(Ženy_na_ohnici!U:U,"4/2")</f>
        <v>2</v>
      </c>
      <c r="I57">
        <f>COUNTIF(Větroplach!U:U,"4/2")</f>
        <v>0</v>
      </c>
      <c r="J57">
        <f>COUNTIF(Na_hřbitově!U:U,"4/2")</f>
        <v>0</v>
      </c>
      <c r="K57">
        <f>COUNTIF(Rekonvalescent!U:U,"4/2")</f>
        <v>1</v>
      </c>
      <c r="L57">
        <f>COUNTIF(Píseň_o_studni!U:U,"4/2")</f>
        <v>1</v>
      </c>
      <c r="M57">
        <f>COUNTIF(Spáči_mluví_ze_sna!U:U,"4/2")</f>
        <v>0</v>
      </c>
      <c r="N57">
        <f>COUNTIF(Kvetoucí_mohyla!U:U,"4/2")</f>
        <v>2</v>
      </c>
      <c r="O57">
        <f>COUNTIF(Slunovrat!U:U,"4/2")</f>
        <v>3</v>
      </c>
      <c r="P57">
        <f>COUNTIF(Hromnice_hoří!U:U,"4/2")</f>
        <v>3</v>
      </c>
      <c r="R57" s="13" t="s">
        <v>608</v>
      </c>
      <c r="S57">
        <f t="shared" si="3"/>
        <v>19</v>
      </c>
      <c r="T57" s="9">
        <f t="shared" si="4"/>
        <v>0.1366906474820144</v>
      </c>
      <c r="AE57" s="5"/>
    </row>
    <row r="58" spans="2:31">
      <c r="D58" s="13" t="s">
        <v>599</v>
      </c>
      <c r="E58">
        <f>COUNTIF(Hory!U:U,"4/4")</f>
        <v>0</v>
      </c>
      <c r="F58">
        <f>COUNTIF(Zavolej!U:U,"4/4")</f>
        <v>1</v>
      </c>
      <c r="G58">
        <f>COUNTIF(Ještě_jaro!U:U,"4/4")</f>
        <v>0</v>
      </c>
      <c r="H58">
        <f>COUNTIF(Ženy_na_ohnici!U:U,"4/4")</f>
        <v>1</v>
      </c>
      <c r="I58">
        <f>COUNTIF(Větroplach!U:U,"4/4")</f>
        <v>0</v>
      </c>
      <c r="J58">
        <f>COUNTIF(Na_hřbitově!U:U,"4/4")</f>
        <v>0</v>
      </c>
      <c r="K58">
        <f>COUNTIF(Rekonvalescent!U:U,"4/4")</f>
        <v>2</v>
      </c>
      <c r="L58">
        <f>COUNTIF(Píseň_o_studni!U:U,"4/4")</f>
        <v>1</v>
      </c>
      <c r="M58">
        <f>COUNTIF(Spáči_mluví_ze_sna!U:U,"4/4")</f>
        <v>0</v>
      </c>
      <c r="N58">
        <f>COUNTIF(Kvetoucí_mohyla!U:U,"4/4")</f>
        <v>1</v>
      </c>
      <c r="O58">
        <f>COUNTIF(Slunovrat!U:U,"4/4")</f>
        <v>1</v>
      </c>
      <c r="P58">
        <f>COUNTIF(Hromnice_hoří!U:U,"4/4")</f>
        <v>0</v>
      </c>
      <c r="R58" s="13" t="s">
        <v>599</v>
      </c>
      <c r="S58">
        <f t="shared" si="3"/>
        <v>7</v>
      </c>
      <c r="T58" s="9">
        <f t="shared" si="4"/>
        <v>5.0359712230215826E-2</v>
      </c>
      <c r="AE58" s="5"/>
    </row>
    <row r="59" spans="2:31">
      <c r="D59" s="13" t="s">
        <v>609</v>
      </c>
      <c r="E59">
        <f>COUNTIF(Hory!U:U,"6/4")</f>
        <v>0</v>
      </c>
      <c r="F59">
        <f>COUNTIF(Zavolej!U:U,"6/4")</f>
        <v>0</v>
      </c>
      <c r="G59">
        <f>COUNTIF(Ještě_jaro!U:U,"6/4")</f>
        <v>0</v>
      </c>
      <c r="H59">
        <f>COUNTIF(Ženy_na_ohnici!U:U,"6/4")</f>
        <v>0</v>
      </c>
      <c r="I59">
        <f>COUNTIF(Větroplach!U:U,"6/4")</f>
        <v>0</v>
      </c>
      <c r="J59">
        <f>COUNTIF(Na_hřbitově!U:U,"6/4")</f>
        <v>0</v>
      </c>
      <c r="K59">
        <f>COUNTIF(Rekonvalescent!U:U,"6/4")</f>
        <v>0</v>
      </c>
      <c r="L59">
        <f>COUNTIF(Píseň_o_studni!U:U,"6/4")</f>
        <v>0</v>
      </c>
      <c r="M59">
        <f>COUNTIF(Spáči_mluví_ze_sna!U:U,"6/4")</f>
        <v>0</v>
      </c>
      <c r="N59">
        <f>COUNTIF(Kvetoucí_mohyla!U:U,"6/4")</f>
        <v>1</v>
      </c>
      <c r="O59">
        <f>COUNTIF(Slunovrat!U:U,"6/4")</f>
        <v>0</v>
      </c>
      <c r="P59">
        <f>COUNTIF(Hromnice_hoří!U:U,"6/4")</f>
        <v>0</v>
      </c>
      <c r="R59" s="13" t="s">
        <v>609</v>
      </c>
      <c r="S59">
        <f t="shared" si="3"/>
        <v>1</v>
      </c>
      <c r="T59" s="9">
        <f t="shared" si="4"/>
        <v>7.1942446043165471E-3</v>
      </c>
      <c r="AE59" s="5"/>
    </row>
    <row r="61" spans="2:31">
      <c r="R61" t="s">
        <v>591</v>
      </c>
      <c r="S61">
        <f>SUM(S49:S59)</f>
        <v>139</v>
      </c>
    </row>
    <row r="62" spans="2:31"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4" spans="2:31" ht="14.45" customHeight="1">
      <c r="B64" s="92" t="s">
        <v>610</v>
      </c>
      <c r="E64" t="s">
        <v>7</v>
      </c>
      <c r="F64" t="s">
        <v>104</v>
      </c>
      <c r="G64" t="s">
        <v>138</v>
      </c>
      <c r="H64" t="s">
        <v>169</v>
      </c>
      <c r="I64" t="s">
        <v>216</v>
      </c>
      <c r="J64" t="s">
        <v>244</v>
      </c>
      <c r="K64" t="s">
        <v>292</v>
      </c>
      <c r="L64" t="s">
        <v>320</v>
      </c>
      <c r="M64" t="s">
        <v>346</v>
      </c>
      <c r="N64" t="s">
        <v>372</v>
      </c>
      <c r="O64" t="s">
        <v>421</v>
      </c>
      <c r="P64" t="s">
        <v>464</v>
      </c>
      <c r="S64" s="8" t="s">
        <v>590</v>
      </c>
      <c r="T64" s="8" t="s">
        <v>538</v>
      </c>
    </row>
    <row r="65" spans="2:25">
      <c r="B65" s="93"/>
      <c r="D65" s="13" t="s">
        <v>611</v>
      </c>
      <c r="E65">
        <f>COUNTIF(Hory!V:W,"N")</f>
        <v>13</v>
      </c>
      <c r="F65">
        <f>COUNTIF(Zavolej!V:W,"N")</f>
        <v>5</v>
      </c>
      <c r="G65">
        <f>COUNTIF(Ještě_jaro!V:W,"N")</f>
        <v>7</v>
      </c>
      <c r="H65">
        <f>COUNTIF(Ženy_na_ohnici!V:W,"N")</f>
        <v>8</v>
      </c>
      <c r="I65">
        <f>COUNTIF(Větroplach!V:W,"N")</f>
        <v>8</v>
      </c>
      <c r="J65">
        <f>COUNTIF(Na_hřbitově!V:W,"N")</f>
        <v>18</v>
      </c>
      <c r="K65">
        <f>COUNTIF(Rekonvalescent!V:W,"N")</f>
        <v>13</v>
      </c>
      <c r="L65">
        <f>COUNTIF(Píseň_o_studni!V:W,"N")</f>
        <v>13</v>
      </c>
      <c r="M65">
        <f>COUNTIF(Spáči_mluví_ze_sna!V:W,"N")</f>
        <v>8</v>
      </c>
      <c r="N65">
        <f>COUNTIF(Kvetoucí_mohyla!V:W,"N")</f>
        <v>17</v>
      </c>
      <c r="O65">
        <f>COUNTIF(Slunovrat!V:W,"N")</f>
        <v>19</v>
      </c>
      <c r="P65">
        <f>COUNTIF(Hromnice_hoří!V:W,"N")</f>
        <v>16</v>
      </c>
      <c r="R65" s="13" t="s">
        <v>611</v>
      </c>
      <c r="S65">
        <f t="shared" ref="S65:S74" si="5">SUM(E65:P65)</f>
        <v>145</v>
      </c>
      <c r="T65" s="9">
        <f t="shared" ref="T65:T74" si="6">S65/$S$76</f>
        <v>0.52158273381294962</v>
      </c>
    </row>
    <row r="66" spans="2:25">
      <c r="B66" s="94"/>
      <c r="D66" s="13" t="s">
        <v>612</v>
      </c>
      <c r="E66">
        <f>COUNTIF(Hory!V:W,"Adj")</f>
        <v>5</v>
      </c>
      <c r="F66">
        <f>COUNTIF(Zavolej!V:W,"Adj")</f>
        <v>0</v>
      </c>
      <c r="G66">
        <f>COUNTIF(Ještě_jaro!V:W,"Adj")</f>
        <v>2</v>
      </c>
      <c r="H66">
        <f>COUNTIF(Ženy_na_ohnici!V:W,"Adj")</f>
        <v>3</v>
      </c>
      <c r="I66">
        <f>COUNTIF(Větroplach!V:W,"Adj")</f>
        <v>2</v>
      </c>
      <c r="J66">
        <f>COUNTIF(Na_hřbitově!V:W,"Adj")</f>
        <v>5</v>
      </c>
      <c r="K66">
        <f>COUNTIF(Rekonvalescent!V:W,"Adj")</f>
        <v>2</v>
      </c>
      <c r="L66">
        <f>COUNTIF(Píseň_o_studni!V:W,"Adj")</f>
        <v>1</v>
      </c>
      <c r="M66">
        <f>COUNTIF(Spáči_mluví_ze_sna!V:W,"Adj")</f>
        <v>3</v>
      </c>
      <c r="N66">
        <f>COUNTIF(Kvetoucí_mohyla!V:W,"Adj")</f>
        <v>6</v>
      </c>
      <c r="O66">
        <f>COUNTIF(Slunovrat!V:W,"Adj")</f>
        <v>0</v>
      </c>
      <c r="P66">
        <f>COUNTIF(Hromnice_hoří!V:W,"Adj")</f>
        <v>12</v>
      </c>
      <c r="R66" s="13" t="s">
        <v>612</v>
      </c>
      <c r="S66">
        <f t="shared" si="5"/>
        <v>41</v>
      </c>
      <c r="T66" s="9">
        <f t="shared" si="6"/>
        <v>0.14748201438848921</v>
      </c>
    </row>
    <row r="67" spans="2:25">
      <c r="D67" s="13" t="s">
        <v>613</v>
      </c>
      <c r="E67">
        <f>COUNTIF(Hory!V:W,"Pron")</f>
        <v>1</v>
      </c>
      <c r="F67">
        <f>COUNTIF(Zavolej!V:W,"Pron")</f>
        <v>1</v>
      </c>
      <c r="G67">
        <f>COUNTIF(Ještě_jaro!V:W,"Pron")</f>
        <v>2</v>
      </c>
      <c r="H67">
        <f>COUNTIF(Ženy_na_ohnici!V:W,"Pron")</f>
        <v>0</v>
      </c>
      <c r="I67">
        <f>COUNTIF(Větroplach!V:W,"Pron")</f>
        <v>0</v>
      </c>
      <c r="J67">
        <f>COUNTIF(Na_hřbitově!V:W,"Pron")</f>
        <v>2</v>
      </c>
      <c r="K67">
        <f>COUNTIF(Rekonvalescent!V:W,"Pron")</f>
        <v>0</v>
      </c>
      <c r="L67">
        <f>COUNTIF(Píseň_o_studni!V:W,"Pron")</f>
        <v>0</v>
      </c>
      <c r="M67">
        <f>COUNTIF(Spáči_mluví_ze_sna!V:W,"Pron")</f>
        <v>4</v>
      </c>
      <c r="N67">
        <f>COUNTIF(Kvetoucí_mohyla!V:W,"Pron")</f>
        <v>0</v>
      </c>
      <c r="O67">
        <f>COUNTIF(Slunovrat!V:W,"Pron")</f>
        <v>0</v>
      </c>
      <c r="P67">
        <f>COUNTIF(Hromnice_hoří!V:W,"Pron")</f>
        <v>0</v>
      </c>
      <c r="R67" s="13" t="s">
        <v>613</v>
      </c>
      <c r="S67">
        <f t="shared" si="5"/>
        <v>10</v>
      </c>
      <c r="T67" s="9">
        <f t="shared" si="6"/>
        <v>3.5971223021582732E-2</v>
      </c>
    </row>
    <row r="68" spans="2:25">
      <c r="D68" s="13" t="s">
        <v>614</v>
      </c>
      <c r="E68">
        <f>COUNTIF(Hory!V:W,"Num")</f>
        <v>0</v>
      </c>
      <c r="F68">
        <f>COUNTIF(Zavolej!V:W,"Num")</f>
        <v>0</v>
      </c>
      <c r="G68">
        <f>COUNTIF(Ještě_jaro!V:W,"Num")</f>
        <v>0</v>
      </c>
      <c r="H68">
        <f>COUNTIF(Ženy_na_ohnici!V:W,"Num")</f>
        <v>0</v>
      </c>
      <c r="I68">
        <f>COUNTIF(Větroplach!V:W,"Num")</f>
        <v>0</v>
      </c>
      <c r="J68">
        <f>COUNTIF(Na_hřbitově!V:W,"Num")</f>
        <v>0</v>
      </c>
      <c r="K68">
        <f>COUNTIF(Rekonvalescent!V:W,"Num")</f>
        <v>0</v>
      </c>
      <c r="L68">
        <f>COUNTIF(Píseň_o_studni!V:W,"Num")</f>
        <v>0</v>
      </c>
      <c r="M68">
        <f>COUNTIF(Spáči_mluví_ze_sna!V:W,"Num")</f>
        <v>0</v>
      </c>
      <c r="N68">
        <f>COUNTIF(Kvetoucí_mohyla!V:W,"Num")</f>
        <v>0</v>
      </c>
      <c r="O68">
        <f>COUNTIF(Slunovrat!V:W,"Num")</f>
        <v>0</v>
      </c>
      <c r="P68">
        <f>COUNTIF(Hromnice_hoří!V:W,"Num")</f>
        <v>0</v>
      </c>
      <c r="R68" s="13" t="s">
        <v>614</v>
      </c>
      <c r="S68">
        <f t="shared" si="5"/>
        <v>0</v>
      </c>
      <c r="T68" s="14">
        <f t="shared" si="6"/>
        <v>0</v>
      </c>
    </row>
    <row r="69" spans="2:25">
      <c r="D69" s="13" t="s">
        <v>615</v>
      </c>
      <c r="E69">
        <f>COUNTIF(Hory!V:W,"V")</f>
        <v>4</v>
      </c>
      <c r="F69">
        <f>COUNTIF(Zavolej!V:W,"V")</f>
        <v>5</v>
      </c>
      <c r="G69">
        <f>COUNTIF(Ještě_jaro!V:W,"V")</f>
        <v>5</v>
      </c>
      <c r="H69">
        <f>COUNTIF(Ženy_na_ohnici!V:W,"V")</f>
        <v>15</v>
      </c>
      <c r="I69">
        <f>COUNTIF(Větroplach!V:W,"V")</f>
        <v>7</v>
      </c>
      <c r="J69">
        <f>COUNTIF(Na_hřbitově!V:W,"V")</f>
        <v>5</v>
      </c>
      <c r="K69">
        <f>COUNTIF(Rekonvalescent!V:W,"V")</f>
        <v>4</v>
      </c>
      <c r="L69">
        <f>COUNTIF(Píseň_o_studni!V:W,"V")</f>
        <v>5</v>
      </c>
      <c r="M69">
        <f>COUNTIF(Spáči_mluví_ze_sna!V:W,"V")</f>
        <v>5</v>
      </c>
      <c r="N69">
        <f>COUNTIF(Kvetoucí_mohyla!V:W,"V")</f>
        <v>7</v>
      </c>
      <c r="O69">
        <f>COUNTIF(Slunovrat!V:W,"V")</f>
        <v>3</v>
      </c>
      <c r="P69">
        <f>COUNTIF(Hromnice_hoří!V:W,"V")</f>
        <v>9</v>
      </c>
      <c r="R69" s="13" t="s">
        <v>615</v>
      </c>
      <c r="S69">
        <f t="shared" si="5"/>
        <v>74</v>
      </c>
      <c r="T69" s="9">
        <f t="shared" si="6"/>
        <v>0.26618705035971224</v>
      </c>
    </row>
    <row r="70" spans="2:25">
      <c r="D70" s="13" t="s">
        <v>616</v>
      </c>
      <c r="E70">
        <f>COUNTIF(Hory!V:W,"Adv")</f>
        <v>1</v>
      </c>
      <c r="F70">
        <f>COUNTIF(Zavolej!V:W,"Adv")</f>
        <v>1</v>
      </c>
      <c r="G70">
        <f>COUNTIF(Ještě_jaro!V:W,"Adv")</f>
        <v>0</v>
      </c>
      <c r="H70">
        <f>COUNTIF(Ženy_na_ohnici!V:W,"Adv")</f>
        <v>0</v>
      </c>
      <c r="I70">
        <f>COUNTIF(Větroplach!V:W,"Adv")</f>
        <v>3</v>
      </c>
      <c r="J70">
        <f>COUNTIF(Na_hřbitově!V:W,"Adv")</f>
        <v>0</v>
      </c>
      <c r="K70">
        <f>COUNTIF(Rekonvalescent!V:W,"Adv")</f>
        <v>1</v>
      </c>
      <c r="L70">
        <f>COUNTIF(Píseň_o_studni!V:W,"Adv")</f>
        <v>1</v>
      </c>
      <c r="M70">
        <f>COUNTIF(Spáči_mluví_ze_sna!V:W,"Adv")</f>
        <v>0</v>
      </c>
      <c r="N70">
        <f>COUNTIF(Kvetoucí_mohyla!V:W,"Adv")</f>
        <v>0</v>
      </c>
      <c r="O70">
        <f>COUNTIF(Slunovrat!V:W,"Adv")</f>
        <v>0</v>
      </c>
      <c r="P70">
        <f>COUNTIF(Hromnice_hoří!V:W,"Adv")</f>
        <v>1</v>
      </c>
      <c r="R70" s="13" t="s">
        <v>616</v>
      </c>
      <c r="S70">
        <f t="shared" si="5"/>
        <v>8</v>
      </c>
      <c r="T70" s="9">
        <f t="shared" si="6"/>
        <v>2.8776978417266189E-2</v>
      </c>
    </row>
    <row r="71" spans="2:25">
      <c r="D71" s="13" t="s">
        <v>617</v>
      </c>
      <c r="E71">
        <f>COUNTIF(Hory!V:W,"Prep")</f>
        <v>0</v>
      </c>
      <c r="F71">
        <f>COUNTIF(Zavolej!V:W,"Prep")</f>
        <v>0</v>
      </c>
      <c r="G71">
        <f>COUNTIF(Ještě_jaro!V:W,"Prep")</f>
        <v>0</v>
      </c>
      <c r="H71">
        <f>COUNTIF(Ženy_na_ohnici!V:W,"Prep")</f>
        <v>0</v>
      </c>
      <c r="I71">
        <f>COUNTIF(Větroplach!V:W,"Prep")</f>
        <v>0</v>
      </c>
      <c r="J71">
        <f>COUNTIF(Na_hřbitově!V:W,"Prep")</f>
        <v>0</v>
      </c>
      <c r="K71">
        <f>COUNTIF(Rekonvalescent!V:W,"Prep")</f>
        <v>0</v>
      </c>
      <c r="L71">
        <f>COUNTIF(Píseň_o_studni!V:W,"Prep")</f>
        <v>0</v>
      </c>
      <c r="M71">
        <f>COUNTIF(Spáči_mluví_ze_sna!V:W,"Prep")</f>
        <v>0</v>
      </c>
      <c r="N71">
        <f>COUNTIF(Kvetoucí_mohyla!V:W,"Prep")</f>
        <v>0</v>
      </c>
      <c r="O71">
        <f>COUNTIF(Slunovrat!V:W,"Prep")</f>
        <v>0</v>
      </c>
      <c r="P71">
        <f>COUNTIF(Hromnice_hoří!V:W,"Prep")</f>
        <v>0</v>
      </c>
      <c r="R71" s="13" t="s">
        <v>617</v>
      </c>
      <c r="S71">
        <f t="shared" si="5"/>
        <v>0</v>
      </c>
      <c r="T71" s="14">
        <f t="shared" si="6"/>
        <v>0</v>
      </c>
    </row>
    <row r="72" spans="2:25">
      <c r="D72" s="13" t="s">
        <v>618</v>
      </c>
      <c r="E72">
        <f>COUNTIF(Hory!V:W,"Kon")</f>
        <v>0</v>
      </c>
      <c r="F72">
        <f>COUNTIF(Zavolej!V:W,"Kon")</f>
        <v>0</v>
      </c>
      <c r="G72">
        <f>COUNTIF(Ještě_jaro!V:W,"Kon")</f>
        <v>0</v>
      </c>
      <c r="H72">
        <f>COUNTIF(Ženy_na_ohnici!V:W,"Kon")</f>
        <v>0</v>
      </c>
      <c r="I72">
        <f>COUNTIF(Větroplach!V:W,"Kon")</f>
        <v>0</v>
      </c>
      <c r="J72">
        <f>COUNTIF(Na_hřbitově!V:W,"Kon")</f>
        <v>0</v>
      </c>
      <c r="K72">
        <f>COUNTIF(Rekonvalescent!V:W,"Kon")</f>
        <v>0</v>
      </c>
      <c r="L72">
        <f>COUNTIF(Píseň_o_studni!V:W,"Kon")</f>
        <v>0</v>
      </c>
      <c r="M72">
        <f>COUNTIF(Spáči_mluví_ze_sna!V:W,"Kon")</f>
        <v>0</v>
      </c>
      <c r="N72">
        <f>COUNTIF(Kvetoucí_mohyla!V:W,"Kon")</f>
        <v>0</v>
      </c>
      <c r="O72">
        <f>COUNTIF(Slunovrat!V:W,"Kon")</f>
        <v>0</v>
      </c>
      <c r="P72">
        <f>COUNTIF(Hromnice_hoří!V:W,"Kon")</f>
        <v>0</v>
      </c>
      <c r="R72" s="13" t="s">
        <v>618</v>
      </c>
      <c r="S72">
        <f t="shared" si="5"/>
        <v>0</v>
      </c>
      <c r="T72" s="14">
        <f t="shared" si="6"/>
        <v>0</v>
      </c>
    </row>
    <row r="73" spans="2:25">
      <c r="D73" s="13" t="s">
        <v>619</v>
      </c>
      <c r="E73">
        <f>COUNTIF(Hory!V:W,"Par")</f>
        <v>0</v>
      </c>
      <c r="F73">
        <f>COUNTIF(Zavolej!V:W,"Par")</f>
        <v>0</v>
      </c>
      <c r="G73">
        <f>COUNTIF(Ještě_jaro!V:W,"Par")</f>
        <v>0</v>
      </c>
      <c r="H73">
        <f>COUNTIF(Ženy_na_ohnici!V:W,"Par")</f>
        <v>0</v>
      </c>
      <c r="I73">
        <f>COUNTIF(Větroplach!V:W,"Par")</f>
        <v>0</v>
      </c>
      <c r="J73">
        <f>COUNTIF(Na_hřbitově!V:W,"Par")</f>
        <v>0</v>
      </c>
      <c r="K73">
        <f>COUNTIF(Rekonvalescent!V:W,"Par")</f>
        <v>0</v>
      </c>
      <c r="L73">
        <f>COUNTIF(Píseň_o_studni!V:W,"Par")</f>
        <v>0</v>
      </c>
      <c r="M73">
        <f>COUNTIF(Spáči_mluví_ze_sna!V:W,"Par")</f>
        <v>0</v>
      </c>
      <c r="N73">
        <f>COUNTIF(Kvetoucí_mohyla!V:W,"Par")</f>
        <v>0</v>
      </c>
      <c r="O73">
        <f>COUNTIF(Slunovrat!V:W,"Par")</f>
        <v>0</v>
      </c>
      <c r="P73">
        <f>COUNTIF(Hromnice_hoří!V:W,"Par")</f>
        <v>0</v>
      </c>
      <c r="R73" s="13" t="s">
        <v>619</v>
      </c>
      <c r="S73">
        <f t="shared" si="5"/>
        <v>0</v>
      </c>
      <c r="T73" s="14">
        <f t="shared" si="6"/>
        <v>0</v>
      </c>
    </row>
    <row r="74" spans="2:25">
      <c r="D74" s="13" t="s">
        <v>620</v>
      </c>
      <c r="E74">
        <f>COUNTIF(Hory!V:W,"Int")</f>
        <v>0</v>
      </c>
      <c r="F74">
        <f>COUNTIF(Zavolej!V:W,"Int")</f>
        <v>0</v>
      </c>
      <c r="G74">
        <f>COUNTIF(Ještě_jaro!V:W,"Int")</f>
        <v>0</v>
      </c>
      <c r="H74">
        <f>COUNTIF(Ženy_na_ohnici!V:W,"Int")</f>
        <v>0</v>
      </c>
      <c r="I74">
        <f>COUNTIF(Větroplach!V:W,"Int")</f>
        <v>0</v>
      </c>
      <c r="J74">
        <f>COUNTIF(Na_hřbitově!V:W,"Int")</f>
        <v>0</v>
      </c>
      <c r="K74">
        <f>COUNTIF(Rekonvalescent!V:W,"Int")</f>
        <v>0</v>
      </c>
      <c r="L74">
        <f>COUNTIF(Píseň_o_studni!V:W,"Int")</f>
        <v>0</v>
      </c>
      <c r="M74">
        <f>COUNTIF(Spáči_mluví_ze_sna!V:W,"Int")</f>
        <v>0</v>
      </c>
      <c r="N74">
        <f>COUNTIF(Kvetoucí_mohyla!V:W,"Int")</f>
        <v>0</v>
      </c>
      <c r="O74">
        <f>COUNTIF(Slunovrat!V:W,"Int")</f>
        <v>0</v>
      </c>
      <c r="P74">
        <f>COUNTIF(Hromnice_hoří!V:W,"Int")</f>
        <v>0</v>
      </c>
      <c r="R74" s="13" t="s">
        <v>620</v>
      </c>
      <c r="S74">
        <f t="shared" si="5"/>
        <v>0</v>
      </c>
      <c r="T74" s="14">
        <f t="shared" si="6"/>
        <v>0</v>
      </c>
    </row>
    <row r="75" spans="2:25">
      <c r="D75" s="13"/>
    </row>
    <row r="76" spans="2:25">
      <c r="R76" t="s">
        <v>591</v>
      </c>
      <c r="S76">
        <f>SUM(S65:S74)</f>
        <v>278</v>
      </c>
    </row>
    <row r="77" spans="2:25"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9" spans="2:25" ht="14.45" customHeight="1">
      <c r="B79" s="92" t="s">
        <v>28</v>
      </c>
      <c r="E79" t="s">
        <v>7</v>
      </c>
      <c r="F79" t="s">
        <v>104</v>
      </c>
      <c r="G79" t="s">
        <v>138</v>
      </c>
      <c r="H79" t="s">
        <v>169</v>
      </c>
      <c r="I79" t="s">
        <v>216</v>
      </c>
      <c r="J79" t="s">
        <v>244</v>
      </c>
      <c r="K79" t="s">
        <v>292</v>
      </c>
      <c r="L79" t="s">
        <v>320</v>
      </c>
      <c r="M79" t="s">
        <v>346</v>
      </c>
      <c r="N79" t="s">
        <v>372</v>
      </c>
      <c r="O79" t="s">
        <v>421</v>
      </c>
      <c r="P79" t="s">
        <v>464</v>
      </c>
      <c r="S79" s="8" t="s">
        <v>590</v>
      </c>
      <c r="T79" s="8" t="s">
        <v>538</v>
      </c>
      <c r="W79" s="8" t="s">
        <v>590</v>
      </c>
      <c r="X79" s="8" t="s">
        <v>538</v>
      </c>
    </row>
    <row r="80" spans="2:25">
      <c r="B80" s="93"/>
      <c r="D80" t="s">
        <v>621</v>
      </c>
      <c r="E80">
        <f>COUNTIF(Hory!X:X,"N+N")</f>
        <v>3</v>
      </c>
      <c r="F80">
        <f>COUNTIF(Zavolej!X:X,"N+N")</f>
        <v>1</v>
      </c>
      <c r="G80">
        <f>COUNTIF(Ještě_jaro!X:X,"N+N")</f>
        <v>2</v>
      </c>
      <c r="H80">
        <f>COUNTIF(Ženy_na_ohnici!X:X,"N+N")</f>
        <v>0</v>
      </c>
      <c r="I80">
        <f>COUNTIF(Větroplach!X:X,"N+N")</f>
        <v>3</v>
      </c>
      <c r="J80">
        <f>COUNTIF(Na_hřbitově!X:X,"N+N")</f>
        <v>5</v>
      </c>
      <c r="K80">
        <f>COUNTIF(Rekonvalescent!X:X,"N+N")</f>
        <v>5</v>
      </c>
      <c r="L80">
        <f>COUNTIF(Píseň_o_studni!X:X,"N+N")</f>
        <v>5</v>
      </c>
      <c r="M80">
        <f>COUNTIF(Spáči_mluví_ze_sna!X:X,"N+N")</f>
        <v>1</v>
      </c>
      <c r="N80">
        <f>COUNTIF(Kvetoucí_mohyla!X:X,"N+N")</f>
        <v>6</v>
      </c>
      <c r="O80">
        <f>COUNTIF(Slunovrat!X:X,"N+N")</f>
        <v>8</v>
      </c>
      <c r="P80">
        <f>COUNTIF(Hromnice_hoří!X:X,"N+N")</f>
        <v>5</v>
      </c>
      <c r="R80" t="s">
        <v>621</v>
      </c>
      <c r="S80">
        <f>SUM(E80:P80)</f>
        <v>44</v>
      </c>
      <c r="T80" s="9">
        <f>S80/$S$110</f>
        <v>0.31654676258992803</v>
      </c>
      <c r="V80" t="s">
        <v>621</v>
      </c>
      <c r="W80">
        <f>S80</f>
        <v>44</v>
      </c>
      <c r="X80" s="9">
        <f>W80/$W$100</f>
        <v>0.31654676258992803</v>
      </c>
    </row>
    <row r="81" spans="2:24">
      <c r="B81" s="94"/>
      <c r="D81" t="s">
        <v>622</v>
      </c>
      <c r="E81">
        <f>COUNTIF(Hory!X:X,"N+Adj")</f>
        <v>1</v>
      </c>
      <c r="F81">
        <f>COUNTIF(Zavolej!X:X,"N+Adj")</f>
        <v>0</v>
      </c>
      <c r="G81">
        <f>COUNTIF(Ještě_jaro!X:X,"N+Adj")</f>
        <v>0</v>
      </c>
      <c r="H81">
        <f>COUNTIF(Ženy_na_ohnici!X:X,"N+Adj")</f>
        <v>2</v>
      </c>
      <c r="I81">
        <f>COUNTIF(Větroplach!X:X,"N+Adj")</f>
        <v>0</v>
      </c>
      <c r="J81">
        <f>COUNTIF(Na_hřbitově!X:X,"N+Adj")</f>
        <v>3</v>
      </c>
      <c r="K81">
        <f>COUNTIF(Rekonvalescent!X:X,"N+Adj")</f>
        <v>1</v>
      </c>
      <c r="L81">
        <f>COUNTIF(Píseň_o_studni!X:X,"N+Adj")</f>
        <v>0</v>
      </c>
      <c r="M81">
        <f>COUNTIF(Spáči_mluví_ze_sna!X:X,"N+Adj")</f>
        <v>1</v>
      </c>
      <c r="N81">
        <f>COUNTIF(Kvetoucí_mohyla!X:X,"N+Adj")</f>
        <v>0</v>
      </c>
      <c r="O81">
        <f>COUNTIF(Slunovrat!X:X,"N+Adj")</f>
        <v>0</v>
      </c>
      <c r="P81">
        <f>COUNTIF(Hromnice_hoří!X:X,"N+Adj")</f>
        <v>1</v>
      </c>
      <c r="R81" t="s">
        <v>622</v>
      </c>
      <c r="S81">
        <f>SUM(E81:P81)</f>
        <v>9</v>
      </c>
      <c r="T81" s="9">
        <f>S81/$S$110</f>
        <v>6.4748201438848921E-2</v>
      </c>
      <c r="V81" t="s">
        <v>623</v>
      </c>
      <c r="W81">
        <f>S81+S86</f>
        <v>18</v>
      </c>
      <c r="X81" s="9">
        <f>W81/$W$100</f>
        <v>0.12949640287769784</v>
      </c>
    </row>
    <row r="82" spans="2:24">
      <c r="D82" t="s">
        <v>624</v>
      </c>
      <c r="E82">
        <f>COUNTIF(Hory!X:X,"N+Pron")</f>
        <v>0</v>
      </c>
      <c r="F82">
        <f>COUNTIF(Zavolej!X:X,"N+Pron")</f>
        <v>0</v>
      </c>
      <c r="G82">
        <f>COUNTIF(Ještě_jaro!X:X,"N+Pron")</f>
        <v>0</v>
      </c>
      <c r="H82">
        <f>COUNTIF(Ženy_na_ohnici!X:X,"N+Pron")</f>
        <v>0</v>
      </c>
      <c r="I82">
        <f>COUNTIF(Větroplach!X:X,"N+Pron")</f>
        <v>0</v>
      </c>
      <c r="J82">
        <f>COUNTIF(Na_hřbitově!X:X,"N+Pron")</f>
        <v>0</v>
      </c>
      <c r="K82">
        <f>COUNTIF(Rekonvalescent!X:X,"N+Pron")</f>
        <v>0</v>
      </c>
      <c r="L82">
        <f>COUNTIF(Píseň_o_studni!X:X,"N+Pron")</f>
        <v>0</v>
      </c>
      <c r="M82">
        <f>COUNTIF(Spáči_mluví_ze_sna!X:X,"N+Pron")</f>
        <v>1</v>
      </c>
      <c r="N82">
        <f>COUNTIF(Kvetoucí_mohyla!X:X,"N+Pron")</f>
        <v>0</v>
      </c>
      <c r="O82">
        <f>COUNTIF(Slunovrat!X:X,"N+Pron")</f>
        <v>0</v>
      </c>
      <c r="P82">
        <f>COUNTIF(Hromnice_hoří!X:X,"N+Pron")</f>
        <v>0</v>
      </c>
      <c r="R82" t="s">
        <v>624</v>
      </c>
      <c r="S82">
        <f>SUM(E82:P82)</f>
        <v>1</v>
      </c>
      <c r="T82" s="9">
        <f>S82/$S$110</f>
        <v>7.1942446043165471E-3</v>
      </c>
      <c r="V82" t="s">
        <v>625</v>
      </c>
      <c r="W82">
        <f>S82+S92</f>
        <v>3</v>
      </c>
      <c r="X82" s="9">
        <f>W82/$W$100</f>
        <v>2.1582733812949641E-2</v>
      </c>
    </row>
    <row r="83" spans="2:24">
      <c r="D83" t="s">
        <v>626</v>
      </c>
      <c r="E83">
        <f>COUNTIF(Hory!X:X,"N+V")</f>
        <v>1</v>
      </c>
      <c r="F83">
        <f>COUNTIF(Zavolej!X:X,"N+V")</f>
        <v>1</v>
      </c>
      <c r="G83">
        <f>COUNTIF(Ještě_jaro!X:X,"N+V")</f>
        <v>0</v>
      </c>
      <c r="H83">
        <f>COUNTIF(Ženy_na_ohnici!X:X,"N+V")</f>
        <v>1</v>
      </c>
      <c r="I83">
        <f>COUNTIF(Větroplach!X:X,"N+V")</f>
        <v>2</v>
      </c>
      <c r="J83">
        <f>COUNTIF(Na_hřbitově!X:X,"N+V")</f>
        <v>4</v>
      </c>
      <c r="K83">
        <f>COUNTIF(Rekonvalescent!X:X,"N+V")</f>
        <v>0</v>
      </c>
      <c r="L83">
        <f>COUNTIF(Píseň_o_studni!X:X,"N+V")</f>
        <v>2</v>
      </c>
      <c r="M83">
        <f>COUNTIF(Spáči_mluví_ze_sna!X:X,"N+V")</f>
        <v>1</v>
      </c>
      <c r="N83">
        <f>COUNTIF(Kvetoucí_mohyla!X:X,"N+V")</f>
        <v>2</v>
      </c>
      <c r="O83">
        <f>COUNTIF(Slunovrat!X:X,"N+V")</f>
        <v>0</v>
      </c>
      <c r="P83">
        <f>COUNTIF(Hromnice_hoří!X:X,"N+V")</f>
        <v>3</v>
      </c>
      <c r="R83" t="s">
        <v>626</v>
      </c>
      <c r="S83">
        <f>SUM(E83:P83)</f>
        <v>17</v>
      </c>
      <c r="T83" s="9">
        <f>S83/$S$110</f>
        <v>0.1223021582733813</v>
      </c>
      <c r="V83" t="s">
        <v>627</v>
      </c>
      <c r="W83">
        <f>S83+S98</f>
        <v>32</v>
      </c>
      <c r="X83" s="9">
        <f>W83/$W$100</f>
        <v>0.23021582733812951</v>
      </c>
    </row>
    <row r="84" spans="2:24">
      <c r="D84" t="s">
        <v>628</v>
      </c>
      <c r="E84">
        <f>COUNTIF(Hory!X:X,"N+Adv")</f>
        <v>1</v>
      </c>
      <c r="F84">
        <f>COUNTIF(Zavolej!X:X,"N+Adv")</f>
        <v>1</v>
      </c>
      <c r="G84">
        <f>COUNTIF(Ještě_jaro!X:X,"N+Adv")</f>
        <v>0</v>
      </c>
      <c r="H84">
        <f>COUNTIF(Ženy_na_ohnici!X:X,"N+Adv")</f>
        <v>0</v>
      </c>
      <c r="I84">
        <f>COUNTIF(Větroplach!X:X,"N+Adv")</f>
        <v>0</v>
      </c>
      <c r="J84">
        <f>COUNTIF(Na_hřbitově!X:X,"N+Adv")</f>
        <v>0</v>
      </c>
      <c r="K84">
        <f>COUNTIF(Rekonvalescent!X:X,"N+Adv")</f>
        <v>0</v>
      </c>
      <c r="L84">
        <f>COUNTIF(Píseň_o_studni!X:X,"N+Adv")</f>
        <v>1</v>
      </c>
      <c r="M84">
        <f>COUNTIF(Spáči_mluví_ze_sna!X:X,"N+Adv")</f>
        <v>0</v>
      </c>
      <c r="N84">
        <f>COUNTIF(Kvetoucí_mohyla!X:X,"N+Adv")</f>
        <v>0</v>
      </c>
      <c r="O84">
        <f>COUNTIF(Slunovrat!X:X,"N+Adv")</f>
        <v>0</v>
      </c>
      <c r="P84">
        <f>COUNTIF(Hromnice_hoří!X:X,"N+Adv")</f>
        <v>0</v>
      </c>
      <c r="R84" t="s">
        <v>628</v>
      </c>
      <c r="S84">
        <f>SUM(E84:P84)</f>
        <v>3</v>
      </c>
      <c r="T84" s="9">
        <f>S84/$S$110</f>
        <v>2.1582733812949641E-2</v>
      </c>
      <c r="V84" t="s">
        <v>629</v>
      </c>
      <c r="W84">
        <f>S84+S104</f>
        <v>4</v>
      </c>
      <c r="X84" s="9">
        <f>W84/$W$100</f>
        <v>2.8776978417266189E-2</v>
      </c>
    </row>
    <row r="85" spans="2:24">
      <c r="T85" s="9"/>
      <c r="X85" s="9"/>
    </row>
    <row r="86" spans="2:24">
      <c r="D86" t="s">
        <v>630</v>
      </c>
      <c r="E86">
        <f>COUNTIF(Hory!X:X,"Adj+N")</f>
        <v>3</v>
      </c>
      <c r="F86">
        <f>COUNTIF(Zavolej!X:X,"Adj+N")</f>
        <v>0</v>
      </c>
      <c r="G86">
        <f>COUNTIF(Ještě_jaro!X:X,"Adj+N")</f>
        <v>1</v>
      </c>
      <c r="H86">
        <f>COUNTIF(Ženy_na_ohnici!X:X,"Adj+N")</f>
        <v>1</v>
      </c>
      <c r="I86">
        <f>COUNTIF(Větroplach!X:X,"Adj+N")</f>
        <v>0</v>
      </c>
      <c r="J86">
        <f>COUNTIF(Na_hřbitově!X:X,"Adj+N")</f>
        <v>0</v>
      </c>
      <c r="K86">
        <f>COUNTIF(Rekonvalescent!X:X,"Adj+N")</f>
        <v>0</v>
      </c>
      <c r="L86">
        <f>COUNTIF(Píseň_o_studni!X:X,"Adj+N")</f>
        <v>0</v>
      </c>
      <c r="M86">
        <f>COUNTIF(Spáči_mluví_ze_sna!X:X,"Adj+N")</f>
        <v>1</v>
      </c>
      <c r="N86">
        <f>COUNTIF(Kvetoucí_mohyla!X:X,"Adj+N")</f>
        <v>2</v>
      </c>
      <c r="O86">
        <f>COUNTIF(Slunovrat!X:X,"Adj+N")</f>
        <v>0</v>
      </c>
      <c r="P86">
        <f>COUNTIF(Hromnice_hoří!X:X,"Adj+N")</f>
        <v>1</v>
      </c>
      <c r="R86" t="s">
        <v>630</v>
      </c>
      <c r="S86">
        <f>SUM(E86:P86)</f>
        <v>9</v>
      </c>
      <c r="T86" s="9">
        <f>S86/$S$110</f>
        <v>6.4748201438848921E-2</v>
      </c>
      <c r="V86" t="s">
        <v>631</v>
      </c>
      <c r="W86">
        <f>S87</f>
        <v>5</v>
      </c>
      <c r="X86" s="9">
        <f>W86/$W$100</f>
        <v>3.5971223021582732E-2</v>
      </c>
    </row>
    <row r="87" spans="2:24">
      <c r="D87" t="s">
        <v>631</v>
      </c>
      <c r="E87">
        <f>COUNTIF(Hory!X:X,"Adj+Adj")</f>
        <v>0</v>
      </c>
      <c r="F87">
        <f>COUNTIF(Zavolej!X:X,"Adj+Adj")</f>
        <v>0</v>
      </c>
      <c r="G87">
        <f>COUNTIF(Ještě_jaro!X:X,"Adj+Adj")</f>
        <v>0</v>
      </c>
      <c r="H87">
        <f>COUNTIF(Ženy_na_ohnici!X:X,"Adj+Adj")</f>
        <v>0</v>
      </c>
      <c r="I87">
        <f>COUNTIF(Větroplach!X:X,"Adj+Adj")</f>
        <v>1</v>
      </c>
      <c r="J87">
        <f>COUNTIF(Na_hřbitově!X:X,"Adj+Adj")</f>
        <v>0</v>
      </c>
      <c r="K87">
        <f>COUNTIF(Rekonvalescent!X:X,"Adj+Adj")</f>
        <v>0</v>
      </c>
      <c r="L87">
        <f>COUNTIF(Píseň_o_studni!X:X,"Adj+Adj")</f>
        <v>0</v>
      </c>
      <c r="M87">
        <f>COUNTIF(Spáči_mluví_ze_sna!X:X,"Adj+Adj")</f>
        <v>0</v>
      </c>
      <c r="N87">
        <f>COUNTIF(Kvetoucí_mohyla!X:X,"Adj+Adj")</f>
        <v>1</v>
      </c>
      <c r="O87">
        <f>COUNTIF(Slunovrat!X:X,"Adj+Adj")</f>
        <v>0</v>
      </c>
      <c r="P87">
        <f>COUNTIF(Hromnice_hoří!X:X,"Adj+Adj")</f>
        <v>3</v>
      </c>
      <c r="R87" t="s">
        <v>631</v>
      </c>
      <c r="S87">
        <f>SUM(E87:P87)</f>
        <v>5</v>
      </c>
      <c r="T87" s="9">
        <f>S87/$S$110</f>
        <v>3.5971223021582732E-2</v>
      </c>
      <c r="V87" t="s">
        <v>632</v>
      </c>
      <c r="W87">
        <f>S88+S93</f>
        <v>4</v>
      </c>
      <c r="X87" s="9">
        <f>W87/$W$100</f>
        <v>2.8776978417266189E-2</v>
      </c>
    </row>
    <row r="88" spans="2:24">
      <c r="D88" t="s">
        <v>633</v>
      </c>
      <c r="E88">
        <f>COUNTIF(Hory!X:X,"Adj+Pron")</f>
        <v>1</v>
      </c>
      <c r="F88">
        <f>COUNTIF(Zavolej!X:X,"Adj+Pron")</f>
        <v>0</v>
      </c>
      <c r="G88">
        <f>COUNTIF(Ještě_jaro!X:X,"Adj+Pron")</f>
        <v>0</v>
      </c>
      <c r="H88">
        <f>COUNTIF(Ženy_na_ohnici!X:X,"Adj+Pron")</f>
        <v>0</v>
      </c>
      <c r="I88">
        <f>COUNTIF(Větroplach!X:X,"Adj+Pron")</f>
        <v>0</v>
      </c>
      <c r="J88">
        <f>COUNTIF(Na_hřbitově!X:X,"Adj+Pron")</f>
        <v>1</v>
      </c>
      <c r="K88">
        <f>COUNTIF(Rekonvalescent!X:X,"Adj+Pron")</f>
        <v>0</v>
      </c>
      <c r="L88">
        <f>COUNTIF(Píseň_o_studni!X:X,"Adj+Pron")</f>
        <v>0</v>
      </c>
      <c r="M88">
        <f>COUNTIF(Spáči_mluví_ze_sna!X:X,"Adj+Pron")</f>
        <v>0</v>
      </c>
      <c r="N88">
        <f>COUNTIF(Kvetoucí_mohyla!X:X,"Adj+Pron")</f>
        <v>0</v>
      </c>
      <c r="O88">
        <f>COUNTIF(Slunovrat!X:X,"Adj+Pron")</f>
        <v>0</v>
      </c>
      <c r="P88">
        <f>COUNTIF(Hromnice_hoří!X:X,"Adj+Pron")</f>
        <v>0</v>
      </c>
      <c r="R88" t="s">
        <v>633</v>
      </c>
      <c r="S88">
        <f>SUM(E88:P88)</f>
        <v>2</v>
      </c>
      <c r="T88" s="9">
        <f>S88/$S$110</f>
        <v>1.4388489208633094E-2</v>
      </c>
      <c r="V88" t="s">
        <v>634</v>
      </c>
      <c r="W88">
        <f>S89+S99</f>
        <v>9</v>
      </c>
      <c r="X88" s="9">
        <f>W88/$W$100</f>
        <v>6.4748201438848921E-2</v>
      </c>
    </row>
    <row r="89" spans="2:24">
      <c r="D89" t="s">
        <v>635</v>
      </c>
      <c r="E89">
        <f>COUNTIF(Hory!X:X,"Adj+V")</f>
        <v>0</v>
      </c>
      <c r="F89">
        <f>COUNTIF(Zavolej!X:X,"Adj+V")</f>
        <v>0</v>
      </c>
      <c r="G89">
        <f>COUNTIF(Ještě_jaro!X:X,"Adj+V")</f>
        <v>0</v>
      </c>
      <c r="H89">
        <f>COUNTIF(Ženy_na_ohnici!X:X,"Adj+V")</f>
        <v>0</v>
      </c>
      <c r="I89">
        <f>COUNTIF(Větroplach!X:X,"Adj+V")</f>
        <v>0</v>
      </c>
      <c r="J89">
        <f>COUNTIF(Na_hřbitově!X:X,"Adj+V")</f>
        <v>0</v>
      </c>
      <c r="K89">
        <f>COUNTIF(Rekonvalescent!X:X,"Adj+V")</f>
        <v>0</v>
      </c>
      <c r="L89">
        <f>COUNTIF(Píseň_o_studni!X:X,"Adj+V")</f>
        <v>1</v>
      </c>
      <c r="M89">
        <f>COUNTIF(Spáči_mluví_ze_sna!X:X,"Adj+V")</f>
        <v>0</v>
      </c>
      <c r="N89">
        <f>COUNTIF(Kvetoucí_mohyla!X:X,"Adj+V")</f>
        <v>2</v>
      </c>
      <c r="O89">
        <f>COUNTIF(Slunovrat!X:X,"Adj+V")</f>
        <v>0</v>
      </c>
      <c r="P89">
        <f>COUNTIF(Hromnice_hoří!X:X,"Adj+V")</f>
        <v>2</v>
      </c>
      <c r="R89" t="s">
        <v>635</v>
      </c>
      <c r="S89">
        <f>SUM(E89:P89)</f>
        <v>5</v>
      </c>
      <c r="T89" s="9">
        <f>S89/$S$110</f>
        <v>3.5971223021582732E-2</v>
      </c>
      <c r="V89" t="s">
        <v>636</v>
      </c>
      <c r="W89">
        <f>S90+S105</f>
        <v>0</v>
      </c>
      <c r="X89" s="14">
        <f>W89/$W$100</f>
        <v>0</v>
      </c>
    </row>
    <row r="90" spans="2:24">
      <c r="D90" t="s">
        <v>637</v>
      </c>
      <c r="E90">
        <f>COUNTIF(Hory!X:X,"Adj+Adv")</f>
        <v>0</v>
      </c>
      <c r="F90">
        <f>COUNTIF(Zavolej!X:X,"Adj+Adv")</f>
        <v>0</v>
      </c>
      <c r="G90">
        <f>COUNTIF(Ještě_jaro!X:X,"Adj+Adv")</f>
        <v>0</v>
      </c>
      <c r="H90">
        <f>COUNTIF(Ženy_na_ohnici!X:X,"Adj+Adv")</f>
        <v>0</v>
      </c>
      <c r="I90">
        <f>COUNTIF(Větroplach!X:X,"Adj+Adv")</f>
        <v>0</v>
      </c>
      <c r="J90">
        <f>COUNTIF(Na_hřbitově!X:X,"Adj+Adv")</f>
        <v>0</v>
      </c>
      <c r="K90">
        <f>COUNTIF(Rekonvalescent!X:X,"Adj+Adv")</f>
        <v>0</v>
      </c>
      <c r="L90">
        <f>COUNTIF(Píseň_o_studni!X:X,"Adj+Adv")</f>
        <v>0</v>
      </c>
      <c r="M90">
        <f>COUNTIF(Spáči_mluví_ze_sna!X:X,"Adj+Adv")</f>
        <v>0</v>
      </c>
      <c r="N90">
        <f>COUNTIF(Kvetoucí_mohyla!X:X,"Adj+Adv")</f>
        <v>0</v>
      </c>
      <c r="O90">
        <f>COUNTIF(Slunovrat!X:X,"Adj+Adv")</f>
        <v>0</v>
      </c>
      <c r="P90">
        <f>COUNTIF(Hromnice_hoří!X:X,"Adj+Adv")</f>
        <v>0</v>
      </c>
      <c r="R90" t="s">
        <v>637</v>
      </c>
      <c r="S90">
        <f>SUM(E90:P90)</f>
        <v>0</v>
      </c>
      <c r="T90" s="14">
        <f>S90/$S$110</f>
        <v>0</v>
      </c>
      <c r="X90" s="9"/>
    </row>
    <row r="91" spans="2:24">
      <c r="T91" s="9"/>
      <c r="V91" t="s">
        <v>638</v>
      </c>
      <c r="W91">
        <f>S94</f>
        <v>0</v>
      </c>
      <c r="X91" s="14">
        <f>W91/$W$100</f>
        <v>0</v>
      </c>
    </row>
    <row r="92" spans="2:24">
      <c r="D92" t="s">
        <v>639</v>
      </c>
      <c r="E92">
        <f>COUNTIF(Hory!X:X,"Pron+N")</f>
        <v>0</v>
      </c>
      <c r="F92">
        <f>COUNTIF(Zavolej!X:X,"Pron+N")</f>
        <v>0</v>
      </c>
      <c r="G92">
        <f>COUNTIF(Ještě_jaro!X:X,"Pron+N")</f>
        <v>0</v>
      </c>
      <c r="H92">
        <f>COUNTIF(Ženy_na_ohnici!X:X,"Pron+N")</f>
        <v>0</v>
      </c>
      <c r="I92">
        <f>COUNTIF(Větroplach!X:X,"Pron+N")</f>
        <v>0</v>
      </c>
      <c r="J92">
        <f>COUNTIF(Na_hřbitově!X:X,"Pron+N")</f>
        <v>0</v>
      </c>
      <c r="K92">
        <f>COUNTIF(Rekonvalescent!X:X,"Pron+N")</f>
        <v>0</v>
      </c>
      <c r="L92">
        <f>COUNTIF(Píseň_o_studni!X:X,"Pron+N")</f>
        <v>0</v>
      </c>
      <c r="M92">
        <f>COUNTIF(Spáči_mluví_ze_sna!X:X,"Pron+N")</f>
        <v>2</v>
      </c>
      <c r="N92">
        <f>COUNTIF(Kvetoucí_mohyla!X:X,"Pron+N")</f>
        <v>0</v>
      </c>
      <c r="O92">
        <f>COUNTIF(Slunovrat!X:X,"Pron+N")</f>
        <v>0</v>
      </c>
      <c r="P92">
        <f>COUNTIF(Hromnice_hoří!X:X,"Pron+N")</f>
        <v>0</v>
      </c>
      <c r="R92" t="s">
        <v>639</v>
      </c>
      <c r="S92">
        <f>SUM(E92:P92)</f>
        <v>2</v>
      </c>
      <c r="T92" s="9">
        <f>S92/$S$110</f>
        <v>1.4388489208633094E-2</v>
      </c>
      <c r="V92" t="s">
        <v>640</v>
      </c>
      <c r="W92">
        <f>S95+S100</f>
        <v>3</v>
      </c>
      <c r="X92" s="9">
        <f>W92/$W$100</f>
        <v>2.1582733812949641E-2</v>
      </c>
    </row>
    <row r="93" spans="2:24">
      <c r="D93" t="s">
        <v>641</v>
      </c>
      <c r="E93">
        <f>COUNTIF(Hory!X:X,"Pron+Adj")</f>
        <v>0</v>
      </c>
      <c r="F93">
        <f>COUNTIF(Zavolej!X:X,"Pron+Adj")</f>
        <v>0</v>
      </c>
      <c r="G93">
        <f>COUNTIF(Ještě_jaro!X:X,"Pron+Adj")</f>
        <v>1</v>
      </c>
      <c r="H93">
        <f>COUNTIF(Ženy_na_ohnici!X:X,"Pron+Adj")</f>
        <v>0</v>
      </c>
      <c r="I93">
        <f>COUNTIF(Větroplach!X:X,"Pron+Adj")</f>
        <v>0</v>
      </c>
      <c r="J93">
        <f>COUNTIF(Na_hřbitově!X:X,"Pron+Adj")</f>
        <v>1</v>
      </c>
      <c r="K93">
        <f>COUNTIF(Rekonvalescent!X:X,"Pron+Adj")</f>
        <v>0</v>
      </c>
      <c r="L93">
        <f>COUNTIF(Píseň_o_studni!X:X,"Pron+Adj")</f>
        <v>0</v>
      </c>
      <c r="M93">
        <f>COUNTIF(Spáči_mluví_ze_sna!X:X,"Pron+Adj")</f>
        <v>0</v>
      </c>
      <c r="N93">
        <f>COUNTIF(Kvetoucí_mohyla!X:X,"Pron+Adj")</f>
        <v>0</v>
      </c>
      <c r="O93">
        <f>COUNTIF(Slunovrat!X:X,"Pron+Adj")</f>
        <v>0</v>
      </c>
      <c r="P93">
        <f>COUNTIF(Hromnice_hoří!X:X,"Pron+Adj")</f>
        <v>0</v>
      </c>
      <c r="R93" t="s">
        <v>641</v>
      </c>
      <c r="S93">
        <f>SUM(E93:P93)</f>
        <v>2</v>
      </c>
      <c r="T93" s="9">
        <f>S93/$S$110</f>
        <v>1.4388489208633094E-2</v>
      </c>
      <c r="V93" t="s">
        <v>642</v>
      </c>
      <c r="W93">
        <f>S96+S106</f>
        <v>0</v>
      </c>
      <c r="X93" s="14">
        <f>W93/$W$100</f>
        <v>0</v>
      </c>
    </row>
    <row r="94" spans="2:24">
      <c r="D94" t="s">
        <v>638</v>
      </c>
      <c r="E94">
        <f>COUNTIF(Hory!X:X,"Pron+Pron")</f>
        <v>0</v>
      </c>
      <c r="F94">
        <f>COUNTIF(Zavolej!X:X,"Pron+Pron")</f>
        <v>0</v>
      </c>
      <c r="G94">
        <f>COUNTIF(Ještě_jaro!X:X,"Pron+Pron")</f>
        <v>0</v>
      </c>
      <c r="H94">
        <f>COUNTIF(Ženy_na_ohnici!X:X,"Pron+Pron")</f>
        <v>0</v>
      </c>
      <c r="I94">
        <f>COUNTIF(Větroplach!X:X,"Pron+Pron")</f>
        <v>0</v>
      </c>
      <c r="J94">
        <f>COUNTIF(Na_hřbitově!X:X,"Pron+Pron")</f>
        <v>0</v>
      </c>
      <c r="K94">
        <f>COUNTIF(Rekonvalescent!X:X,"Pron+Pron")</f>
        <v>0</v>
      </c>
      <c r="L94">
        <f>COUNTIF(Píseň_o_studni!X:X,"Pron+Pron")</f>
        <v>0</v>
      </c>
      <c r="M94">
        <f>COUNTIF(Spáči_mluví_ze_sna!X:X,"Pron+Pron")</f>
        <v>0</v>
      </c>
      <c r="N94">
        <f>COUNTIF(Kvetoucí_mohyla!X:X,"Pron+Pron")</f>
        <v>0</v>
      </c>
      <c r="O94">
        <f>COUNTIF(Slunovrat!X:X,"Pron+Pron")</f>
        <v>0</v>
      </c>
      <c r="P94">
        <f>COUNTIF(Hromnice_hoří!X:X,"Pron+Pron")</f>
        <v>0</v>
      </c>
      <c r="R94" t="s">
        <v>638</v>
      </c>
      <c r="S94">
        <f>SUM(E94:P94)</f>
        <v>0</v>
      </c>
      <c r="T94" s="14">
        <f>S94/$S$110</f>
        <v>0</v>
      </c>
      <c r="X94" s="9"/>
    </row>
    <row r="95" spans="2:24">
      <c r="D95" t="s">
        <v>643</v>
      </c>
      <c r="E95">
        <f>COUNTIF(Hory!X:X,"Pron+V")</f>
        <v>0</v>
      </c>
      <c r="F95">
        <f>COUNTIF(Zavolej!X:X,"Pron+V")</f>
        <v>1</v>
      </c>
      <c r="G95">
        <f>COUNTIF(Ještě_jaro!X:X,"Pron+V")</f>
        <v>1</v>
      </c>
      <c r="H95">
        <f>COUNTIF(Ženy_na_ohnici!X:X,"Pron+V")</f>
        <v>0</v>
      </c>
      <c r="I95">
        <f>COUNTIF(Větroplach!X:X,"Pron+V")</f>
        <v>0</v>
      </c>
      <c r="J95">
        <f>COUNTIF(Na_hřbitově!X:X,"Pron+V")</f>
        <v>0</v>
      </c>
      <c r="K95">
        <f>COUNTIF(Rekonvalescent!X:X,"Pron+V")</f>
        <v>0</v>
      </c>
      <c r="L95">
        <f>COUNTIF(Píseň_o_studni!X:X,"Pron+V")</f>
        <v>0</v>
      </c>
      <c r="M95">
        <f>COUNTIF(Spáči_mluví_ze_sna!X:X,"Pron+V")</f>
        <v>1</v>
      </c>
      <c r="N95">
        <f>COUNTIF(Kvetoucí_mohyla!X:X,"Pron+V")</f>
        <v>0</v>
      </c>
      <c r="O95">
        <f>COUNTIF(Slunovrat!X:X,"Pron+V")</f>
        <v>0</v>
      </c>
      <c r="P95">
        <f>COUNTIF(Hromnice_hoří!X:X,"Pron+V")</f>
        <v>0</v>
      </c>
      <c r="R95" t="s">
        <v>643</v>
      </c>
      <c r="S95">
        <f>SUM(E95:P95)</f>
        <v>3</v>
      </c>
      <c r="T95" s="9">
        <f>S95/$S$110</f>
        <v>2.1582733812949641E-2</v>
      </c>
      <c r="V95" t="s">
        <v>644</v>
      </c>
      <c r="W95">
        <f>S101</f>
        <v>13</v>
      </c>
      <c r="X95" s="9">
        <f>W95/$W$100</f>
        <v>9.3525179856115109E-2</v>
      </c>
    </row>
    <row r="96" spans="2:24">
      <c r="D96" t="s">
        <v>645</v>
      </c>
      <c r="E96">
        <f>COUNTIF(Hory!X:X,"Pron+Adv")</f>
        <v>0</v>
      </c>
      <c r="F96">
        <f>COUNTIF(Zavolej!X:X,"Pron+Adv")</f>
        <v>0</v>
      </c>
      <c r="G96">
        <f>COUNTIF(Ještě_jaro!X:X,"Pron+Adv")</f>
        <v>0</v>
      </c>
      <c r="H96">
        <f>COUNTIF(Ženy_na_ohnici!X:X,"Pron+Adv")</f>
        <v>0</v>
      </c>
      <c r="I96">
        <f>COUNTIF(Větroplach!X:X,"Pron+Adv")</f>
        <v>0</v>
      </c>
      <c r="J96">
        <f>COUNTIF(Na_hřbitově!X:X,"Pron+Adv")</f>
        <v>0</v>
      </c>
      <c r="K96">
        <f>COUNTIF(Rekonvalescent!X:X,"Pron+Adv")</f>
        <v>0</v>
      </c>
      <c r="L96">
        <f>COUNTIF(Píseň_o_studni!X:X,"Pron+Adv")</f>
        <v>0</v>
      </c>
      <c r="M96">
        <f>COUNTIF(Spáči_mluví_ze_sna!X:X,"Pron+Adv")</f>
        <v>0</v>
      </c>
      <c r="N96">
        <f>COUNTIF(Kvetoucí_mohyla!X:X,"Pron+Adv")</f>
        <v>0</v>
      </c>
      <c r="O96">
        <f>COUNTIF(Slunovrat!X:X,"Pron+Adv")</f>
        <v>0</v>
      </c>
      <c r="P96">
        <f>COUNTIF(Hromnice_hoří!X:X,"Pron+Adv")</f>
        <v>0</v>
      </c>
      <c r="R96" t="s">
        <v>645</v>
      </c>
      <c r="S96">
        <f>SUM(E96:P96)</f>
        <v>0</v>
      </c>
      <c r="T96" s="14">
        <f>S96/$S$110</f>
        <v>0</v>
      </c>
      <c r="V96" t="s">
        <v>646</v>
      </c>
      <c r="W96">
        <f>S102+S107</f>
        <v>4</v>
      </c>
      <c r="X96" s="9">
        <f>W96/$W$100</f>
        <v>2.8776978417266189E-2</v>
      </c>
    </row>
    <row r="97" spans="2:25">
      <c r="T97" s="9"/>
      <c r="X97" s="9"/>
    </row>
    <row r="98" spans="2:25">
      <c r="D98" t="s">
        <v>647</v>
      </c>
      <c r="E98">
        <f>COUNTIF(Hory!X:X,"V+N")</f>
        <v>1</v>
      </c>
      <c r="F98">
        <f>COUNTIF(Zavolej!X:X,"V+N")</f>
        <v>1</v>
      </c>
      <c r="G98">
        <f>COUNTIF(Ještě_jaro!X:X,"V+N")</f>
        <v>2</v>
      </c>
      <c r="H98">
        <f>COUNTIF(Ženy_na_ohnici!X:X,"V+N")</f>
        <v>4</v>
      </c>
      <c r="I98">
        <f>COUNTIF(Větroplach!X:X,"V+N")</f>
        <v>0</v>
      </c>
      <c r="J98">
        <f>COUNTIF(Na_hřbitově!X:X,"V+N")</f>
        <v>1</v>
      </c>
      <c r="K98">
        <f>COUNTIF(Rekonvalescent!X:X,"V+N")</f>
        <v>2</v>
      </c>
      <c r="L98">
        <f>COUNTIF(Píseň_o_studni!X:X,"V+N")</f>
        <v>0</v>
      </c>
      <c r="M98">
        <f>COUNTIF(Spáči_mluví_ze_sna!X:X,"V+N")</f>
        <v>0</v>
      </c>
      <c r="N98">
        <f>COUNTIF(Kvetoucí_mohyla!X:X,"V+N")</f>
        <v>1</v>
      </c>
      <c r="O98">
        <f>COUNTIF(Slunovrat!X:X,"V+N")</f>
        <v>3</v>
      </c>
      <c r="P98">
        <f>COUNTIF(Hromnice_hoří!X:X,"V+N")</f>
        <v>0</v>
      </c>
      <c r="R98" t="s">
        <v>647</v>
      </c>
      <c r="S98">
        <f>SUM(E98:P98)</f>
        <v>15</v>
      </c>
      <c r="T98" s="9">
        <f>S98/$S$110</f>
        <v>0.1079136690647482</v>
      </c>
      <c r="V98" t="s">
        <v>648</v>
      </c>
      <c r="W98">
        <f>S108</f>
        <v>0</v>
      </c>
      <c r="X98" s="14">
        <f>W98/$W$100</f>
        <v>0</v>
      </c>
    </row>
    <row r="99" spans="2:25">
      <c r="D99" t="s">
        <v>649</v>
      </c>
      <c r="E99">
        <f>COUNTIF(Hory!X:X,"V+Adj")</f>
        <v>0</v>
      </c>
      <c r="F99">
        <f>COUNTIF(Zavolej!X:X,"V+Adj")</f>
        <v>0</v>
      </c>
      <c r="G99">
        <f>COUNTIF(Ještě_jaro!X:X,"V+Adj")</f>
        <v>0</v>
      </c>
      <c r="H99">
        <f>COUNTIF(Ženy_na_ohnici!X:X,"V+Adj")</f>
        <v>0</v>
      </c>
      <c r="I99">
        <f>COUNTIF(Větroplach!X:X,"V+Adj")</f>
        <v>0</v>
      </c>
      <c r="J99">
        <f>COUNTIF(Na_hřbitově!X:X,"V+Adj")</f>
        <v>0</v>
      </c>
      <c r="K99">
        <f>COUNTIF(Rekonvalescent!X:X,"V+Adj")</f>
        <v>1</v>
      </c>
      <c r="L99">
        <f>COUNTIF(Píseň_o_studni!X:X,"V+Adj")</f>
        <v>0</v>
      </c>
      <c r="M99">
        <f>COUNTIF(Spáči_mluví_ze_sna!X:X,"V+Adj")</f>
        <v>1</v>
      </c>
      <c r="N99">
        <f>COUNTIF(Kvetoucí_mohyla!X:X,"V+Adj")</f>
        <v>0</v>
      </c>
      <c r="O99">
        <f>COUNTIF(Slunovrat!X:X,"V+Adj")</f>
        <v>0</v>
      </c>
      <c r="P99">
        <f>COUNTIF(Hromnice_hoří!X:X,"V+Adj")</f>
        <v>2</v>
      </c>
      <c r="R99" t="s">
        <v>649</v>
      </c>
      <c r="S99">
        <f>SUM(E99:P99)</f>
        <v>4</v>
      </c>
      <c r="T99" s="9">
        <f>S99/$S$110</f>
        <v>2.8776978417266189E-2</v>
      </c>
    </row>
    <row r="100" spans="2:25">
      <c r="D100" t="s">
        <v>650</v>
      </c>
      <c r="E100">
        <f>COUNTIF(Hory!X:X,"V+Pron")</f>
        <v>0</v>
      </c>
      <c r="F100">
        <f>COUNTIF(Zavolej!X:X,"V+Pron")</f>
        <v>0</v>
      </c>
      <c r="G100">
        <f>COUNTIF(Ještě_jaro!X:X,"V+Pron")</f>
        <v>0</v>
      </c>
      <c r="H100">
        <f>COUNTIF(Ženy_na_ohnici!X:X,"V+Pron")</f>
        <v>0</v>
      </c>
      <c r="I100">
        <f>COUNTIF(Větroplach!X:X,"V+Pron")</f>
        <v>0</v>
      </c>
      <c r="J100">
        <f>COUNTIF(Na_hřbitově!X:X,"V+Pron")</f>
        <v>0</v>
      </c>
      <c r="K100">
        <f>COUNTIF(Rekonvalescent!X:X,"V+Pron")</f>
        <v>0</v>
      </c>
      <c r="L100">
        <f>COUNTIF(Píseň_o_studni!X:X,"V+Pron")</f>
        <v>0</v>
      </c>
      <c r="M100">
        <f>COUNTIF(Spáči_mluví_ze_sna!X:X,"V+Pron")</f>
        <v>0</v>
      </c>
      <c r="N100">
        <f>COUNTIF(Kvetoucí_mohyla!X:X,"V+Pron")</f>
        <v>0</v>
      </c>
      <c r="O100">
        <f>COUNTIF(Slunovrat!X:X,"V+Pron")</f>
        <v>0</v>
      </c>
      <c r="P100">
        <f>COUNTIF(Hromnice_hoří!X:X,"V+Pron")</f>
        <v>0</v>
      </c>
      <c r="R100" t="s">
        <v>650</v>
      </c>
      <c r="S100">
        <f>SUM(E100:P100)</f>
        <v>0</v>
      </c>
      <c r="T100" s="14">
        <f>S100/$S$110</f>
        <v>0</v>
      </c>
      <c r="V100" t="s">
        <v>591</v>
      </c>
      <c r="W100">
        <f>SUM(W80:W98)</f>
        <v>139</v>
      </c>
    </row>
    <row r="101" spans="2:25">
      <c r="D101" t="s">
        <v>644</v>
      </c>
      <c r="E101">
        <f>COUNTIF(Hory!X:X,"V+V")</f>
        <v>1</v>
      </c>
      <c r="F101">
        <f>COUNTIF(Zavolej!X:X,"V+V")</f>
        <v>1</v>
      </c>
      <c r="G101">
        <f>COUNTIF(Ještě_jaro!X:X,"V+V")</f>
        <v>1</v>
      </c>
      <c r="H101">
        <f>COUNTIF(Ženy_na_ohnici!X:X,"V+V")</f>
        <v>5</v>
      </c>
      <c r="I101">
        <f>COUNTIF(Větroplach!X:X,"V+V")</f>
        <v>1</v>
      </c>
      <c r="J101">
        <f>COUNTIF(Na_hřbitově!X:X,"V+V")</f>
        <v>0</v>
      </c>
      <c r="K101">
        <f>COUNTIF(Rekonvalescent!X:X,"V+V")</f>
        <v>0</v>
      </c>
      <c r="L101">
        <f>COUNTIF(Píseň_o_studni!X:X,"V+V")</f>
        <v>1</v>
      </c>
      <c r="M101">
        <f>COUNTIF(Spáči_mluví_ze_sna!X:X,"V+V")</f>
        <v>1</v>
      </c>
      <c r="N101">
        <f>COUNTIF(Kvetoucí_mohyla!X:X,"V+V")</f>
        <v>1</v>
      </c>
      <c r="O101">
        <f>COUNTIF(Slunovrat!X:X,"V+V")</f>
        <v>0</v>
      </c>
      <c r="P101">
        <f>COUNTIF(Hromnice_hoří!X:X,"V+V")</f>
        <v>1</v>
      </c>
      <c r="R101" t="s">
        <v>644</v>
      </c>
      <c r="S101">
        <f>SUM(E101:P101)</f>
        <v>13</v>
      </c>
      <c r="T101" s="9">
        <f>S101/$S$110</f>
        <v>9.3525179856115109E-2</v>
      </c>
    </row>
    <row r="102" spans="2:25">
      <c r="D102" t="s">
        <v>651</v>
      </c>
      <c r="E102">
        <f>COUNTIF(Hory!X:X,"V+Adv")</f>
        <v>0</v>
      </c>
      <c r="F102">
        <f>COUNTIF(Zavolej!X:X,"V+Adv")</f>
        <v>0</v>
      </c>
      <c r="G102">
        <f>COUNTIF(Ještě_jaro!X:X,"V+Adv")</f>
        <v>0</v>
      </c>
      <c r="H102">
        <f>COUNTIF(Ženy_na_ohnici!X:X,"V+Adv")</f>
        <v>0</v>
      </c>
      <c r="I102">
        <f>COUNTIF(Větroplach!X:X,"V+Adv")</f>
        <v>0</v>
      </c>
      <c r="J102">
        <f>COUNTIF(Na_hřbitově!X:X,"V+Adv")</f>
        <v>0</v>
      </c>
      <c r="K102">
        <f>COUNTIF(Rekonvalescent!X:X,"V+Adv")</f>
        <v>1</v>
      </c>
      <c r="L102">
        <f>COUNTIF(Píseň_o_studni!X:X,"V+Adv")</f>
        <v>0</v>
      </c>
      <c r="M102">
        <f>COUNTIF(Spáči_mluví_ze_sna!X:X,"V+Adv")</f>
        <v>0</v>
      </c>
      <c r="N102">
        <f>COUNTIF(Kvetoucí_mohyla!X:X,"V+Adv")</f>
        <v>0</v>
      </c>
      <c r="O102">
        <f>COUNTIF(Slunovrat!X:X,"V+Adv")</f>
        <v>0</v>
      </c>
      <c r="P102">
        <f>COUNTIF(Hromnice_hoří!X:X,"V+Adv")</f>
        <v>0</v>
      </c>
      <c r="R102" t="s">
        <v>651</v>
      </c>
      <c r="S102">
        <f>SUM(E102:P102)</f>
        <v>1</v>
      </c>
      <c r="T102" s="9">
        <f>S102/$S$110</f>
        <v>7.1942446043165471E-3</v>
      </c>
    </row>
    <row r="103" spans="2:25">
      <c r="T103" s="9"/>
    </row>
    <row r="104" spans="2:25">
      <c r="D104" t="s">
        <v>652</v>
      </c>
      <c r="E104">
        <f>COUNTIF(Hory!X:X,"Adv+N")</f>
        <v>0</v>
      </c>
      <c r="F104">
        <f>COUNTIF(Zavolej!X:X,"Adv+N")</f>
        <v>0</v>
      </c>
      <c r="G104">
        <f>COUNTIF(Ještě_jaro!X:X,"Adv+N")</f>
        <v>0</v>
      </c>
      <c r="H104">
        <f>COUNTIF(Ženy_na_ohnici!X:X,"Adv+N")</f>
        <v>0</v>
      </c>
      <c r="I104">
        <f>COUNTIF(Větroplach!X:X,"Adv+N")</f>
        <v>0</v>
      </c>
      <c r="J104">
        <f>COUNTIF(Na_hřbitově!X:X,"Adv+N")</f>
        <v>0</v>
      </c>
      <c r="K104">
        <f>COUNTIF(Rekonvalescent!X:X,"Adv+N")</f>
        <v>0</v>
      </c>
      <c r="L104">
        <f>COUNTIF(Píseň_o_studni!X:X,"Adv+N")</f>
        <v>0</v>
      </c>
      <c r="M104">
        <f>COUNTIF(Spáči_mluví_ze_sna!X:X,"Adv+N")</f>
        <v>0</v>
      </c>
      <c r="N104">
        <f>COUNTIF(Kvetoucí_mohyla!X:X,"Adv+N")</f>
        <v>0</v>
      </c>
      <c r="O104">
        <f>COUNTIF(Slunovrat!X:X,"Adv+N")</f>
        <v>0</v>
      </c>
      <c r="P104">
        <f>COUNTIF(Hromnice_hoří!X:X,"Adv+N")</f>
        <v>1</v>
      </c>
      <c r="R104" t="s">
        <v>652</v>
      </c>
      <c r="S104">
        <f>SUM(E104:P104)</f>
        <v>1</v>
      </c>
      <c r="T104" s="9">
        <f>S104/$S$110</f>
        <v>7.1942446043165471E-3</v>
      </c>
    </row>
    <row r="105" spans="2:25">
      <c r="D105" t="s">
        <v>653</v>
      </c>
      <c r="E105">
        <f>COUNTIF(Hory!X:X,"Adv+Adj")</f>
        <v>0</v>
      </c>
      <c r="F105">
        <f>COUNTIF(Zavolej!X:X,"Adv+Adj")</f>
        <v>0</v>
      </c>
      <c r="G105">
        <f>COUNTIF(Ještě_jaro!X:X,"Adv+Adj")</f>
        <v>0</v>
      </c>
      <c r="H105">
        <f>COUNTIF(Ženy_na_ohnici!X:X,"Adv+Adj")</f>
        <v>0</v>
      </c>
      <c r="I105">
        <f>COUNTIF(Větroplach!X:X,"Adv+Adj")</f>
        <v>0</v>
      </c>
      <c r="J105">
        <f>COUNTIF(Na_hřbitově!X:X,"Adv+Adj")</f>
        <v>0</v>
      </c>
      <c r="K105">
        <f>COUNTIF(Rekonvalescent!X:X,"Adv+Adj")</f>
        <v>0</v>
      </c>
      <c r="L105">
        <f>COUNTIF(Píseň_o_studni!X:X,"Adv+Adj")</f>
        <v>0</v>
      </c>
      <c r="M105">
        <f>COUNTIF(Spáči_mluví_ze_sna!X:X,"Adv+Adj")</f>
        <v>0</v>
      </c>
      <c r="N105">
        <f>COUNTIF(Kvetoucí_mohyla!X:X,"Adv+Adj")</f>
        <v>0</v>
      </c>
      <c r="O105">
        <f>COUNTIF(Slunovrat!X:X,"Adv+Adj")</f>
        <v>0</v>
      </c>
      <c r="P105">
        <f>COUNTIF(Hromnice_hoří!X:X,"Adv+Adj")</f>
        <v>0</v>
      </c>
      <c r="R105" t="s">
        <v>653</v>
      </c>
      <c r="S105">
        <f>SUM(E105:P105)</f>
        <v>0</v>
      </c>
      <c r="T105" s="14">
        <f>S105/$S$110</f>
        <v>0</v>
      </c>
    </row>
    <row r="106" spans="2:25">
      <c r="D106" t="s">
        <v>654</v>
      </c>
      <c r="E106">
        <f>COUNTIF(Hory!X:X,"Adv+Pron")</f>
        <v>0</v>
      </c>
      <c r="F106">
        <f>COUNTIF(Zavolej!X:X,"Adv+Pron")</f>
        <v>0</v>
      </c>
      <c r="G106">
        <f>COUNTIF(Ještě_jaro!X:X,"Adv+Pron")</f>
        <v>0</v>
      </c>
      <c r="H106">
        <f>COUNTIF(Ženy_na_ohnici!X:X,"Adv+Pron")</f>
        <v>0</v>
      </c>
      <c r="I106">
        <f>COUNTIF(Větroplach!X:X,"Adv+Pron")</f>
        <v>0</v>
      </c>
      <c r="J106">
        <f>COUNTIF(Na_hřbitově!X:X,"Adv+Pron")</f>
        <v>0</v>
      </c>
      <c r="K106">
        <f>COUNTIF(Rekonvalescent!X:X,"Adv+Pron")</f>
        <v>0</v>
      </c>
      <c r="L106">
        <f>COUNTIF(Píseň_o_studni!X:X,"Adv+Pron")</f>
        <v>0</v>
      </c>
      <c r="M106">
        <f>COUNTIF(Spáči_mluví_ze_sna!X:X,"Adv+Pron")</f>
        <v>0</v>
      </c>
      <c r="N106">
        <f>COUNTIF(Kvetoucí_mohyla!X:X,"Adv+Pron")</f>
        <v>0</v>
      </c>
      <c r="O106">
        <f>COUNTIF(Slunovrat!X:X,"Adv+Pron")</f>
        <v>0</v>
      </c>
      <c r="P106">
        <f>COUNTIF(Hromnice_hoří!X:X,"Adv+Pron")</f>
        <v>0</v>
      </c>
      <c r="R106" t="s">
        <v>654</v>
      </c>
      <c r="S106">
        <f>SUM(E106:P106)</f>
        <v>0</v>
      </c>
      <c r="T106" s="14">
        <f>S106/$S$110</f>
        <v>0</v>
      </c>
    </row>
    <row r="107" spans="2:25">
      <c r="D107" t="s">
        <v>655</v>
      </c>
      <c r="E107">
        <f>COUNTIF(Hory!X:X,"Adv+V")</f>
        <v>0</v>
      </c>
      <c r="F107">
        <f>COUNTIF(Zavolej!X:X,"Adv+V")</f>
        <v>0</v>
      </c>
      <c r="G107">
        <f>COUNTIF(Ještě_jaro!X:X,"Adv+V")</f>
        <v>0</v>
      </c>
      <c r="H107">
        <f>COUNTIF(Ženy_na_ohnici!X:X,"Adv+V")</f>
        <v>0</v>
      </c>
      <c r="I107">
        <f>COUNTIF(Větroplach!X:X,"Adv+V")</f>
        <v>3</v>
      </c>
      <c r="J107">
        <f>COUNTIF(Na_hřbitově!X:X,"Adv+V")</f>
        <v>0</v>
      </c>
      <c r="K107">
        <f>COUNTIF(Rekonvalescent!X:X,"Adv+V")</f>
        <v>0</v>
      </c>
      <c r="L107">
        <f>COUNTIF(Píseň_o_studni!X:X,"Adv+V")</f>
        <v>0</v>
      </c>
      <c r="M107">
        <f>COUNTIF(Spáči_mluví_ze_sna!X:X,"Adv+V")</f>
        <v>0</v>
      </c>
      <c r="N107">
        <f>COUNTIF(Kvetoucí_mohyla!X:X,"Adv+V")</f>
        <v>0</v>
      </c>
      <c r="O107">
        <f>COUNTIF(Slunovrat!X:X,"Adv+V")</f>
        <v>0</v>
      </c>
      <c r="P107">
        <f>COUNTIF(Hromnice_hoří!X:X,"Adv+V")</f>
        <v>0</v>
      </c>
      <c r="R107" t="s">
        <v>655</v>
      </c>
      <c r="S107">
        <f>SUM(E107:P107)</f>
        <v>3</v>
      </c>
      <c r="T107" s="9">
        <f>S107/$S$110</f>
        <v>2.1582733812949641E-2</v>
      </c>
    </row>
    <row r="108" spans="2:25">
      <c r="D108" t="s">
        <v>648</v>
      </c>
      <c r="E108">
        <f>COUNTIF(Hory!X:X,"Adv+Adv")</f>
        <v>0</v>
      </c>
      <c r="F108">
        <f>COUNTIF(Zavolej!X:X,"Adv+Adv")</f>
        <v>0</v>
      </c>
      <c r="G108">
        <f>COUNTIF(Ještě_jaro!X:X,"Adv+Adv")</f>
        <v>0</v>
      </c>
      <c r="H108">
        <f>COUNTIF(Ženy_na_ohnici!X:X,"Adv+Adv")</f>
        <v>0</v>
      </c>
      <c r="I108">
        <f>COUNTIF(Větroplach!X:X,"Adv+Adv")</f>
        <v>0</v>
      </c>
      <c r="J108">
        <f>COUNTIF(Na_hřbitově!X:X,"Adv+Adv")</f>
        <v>0</v>
      </c>
      <c r="K108">
        <f>COUNTIF(Rekonvalescent!X:X,"Adv+Adv")</f>
        <v>0</v>
      </c>
      <c r="L108">
        <f>COUNTIF(Píseň_o_studni!X:X,"Adv+Adv")</f>
        <v>0</v>
      </c>
      <c r="M108">
        <f>COUNTIF(Spáči_mluví_ze_sna!X:X,"Adv+Adv")</f>
        <v>0</v>
      </c>
      <c r="N108">
        <f>COUNTIF(Kvetoucí_mohyla!X:X,"Adv+Adv")</f>
        <v>0</v>
      </c>
      <c r="O108">
        <f>COUNTIF(Slunovrat!X:X,"Adv+Adv")</f>
        <v>0</v>
      </c>
      <c r="P108">
        <f>COUNTIF(Hromnice_hoří!X:X,"Adv+Adv")</f>
        <v>0</v>
      </c>
      <c r="R108" t="s">
        <v>648</v>
      </c>
      <c r="S108">
        <f>SUM(E108:P108)</f>
        <v>0</v>
      </c>
      <c r="T108" s="14">
        <f>S108/$S$110</f>
        <v>0</v>
      </c>
    </row>
    <row r="110" spans="2:25">
      <c r="R110" t="s">
        <v>591</v>
      </c>
      <c r="S110">
        <f>SUM(S80:S108)</f>
        <v>139</v>
      </c>
    </row>
    <row r="111" spans="2:25"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3" spans="2:21" ht="14.45" customHeight="1">
      <c r="B113" s="92" t="s">
        <v>29</v>
      </c>
      <c r="E113" t="s">
        <v>7</v>
      </c>
      <c r="F113" t="s">
        <v>104</v>
      </c>
      <c r="G113" t="s">
        <v>138</v>
      </c>
      <c r="H113" t="s">
        <v>169</v>
      </c>
      <c r="I113" t="s">
        <v>216</v>
      </c>
      <c r="J113" t="s">
        <v>244</v>
      </c>
      <c r="K113" t="s">
        <v>292</v>
      </c>
      <c r="L113" t="s">
        <v>320</v>
      </c>
      <c r="M113" t="s">
        <v>346</v>
      </c>
      <c r="N113" t="s">
        <v>372</v>
      </c>
      <c r="O113" t="s">
        <v>421</v>
      </c>
      <c r="P113" t="s">
        <v>464</v>
      </c>
      <c r="S113" s="8" t="s">
        <v>590</v>
      </c>
      <c r="T113" s="8" t="s">
        <v>538</v>
      </c>
    </row>
    <row r="114" spans="2:21">
      <c r="B114" s="93"/>
      <c r="D114" s="11">
        <v>0</v>
      </c>
      <c r="E114">
        <f>COUNTIF(Hory!Y:Y,"0")</f>
        <v>1</v>
      </c>
      <c r="F114">
        <f>COUNTIF(Zavolej!Y:Y,"0")</f>
        <v>0</v>
      </c>
      <c r="G114">
        <f>COUNTIF(Ještě_jaro!Y:Y,"0")</f>
        <v>1</v>
      </c>
      <c r="H114">
        <f>COUNTIF(Ženy_na_ohnici!Y:Y,"0")</f>
        <v>4</v>
      </c>
      <c r="I114">
        <f>COUNTIF(Větroplach!Y:Y,"0")</f>
        <v>1</v>
      </c>
      <c r="J114">
        <f>COUNTIF(Na_hřbitově!Y:Y,"0")</f>
        <v>3</v>
      </c>
      <c r="K114">
        <f>COUNTIF(Rekonvalescent!Y:Y,"0")</f>
        <v>1</v>
      </c>
      <c r="L114">
        <f>COUNTIF(Píseň_o_studni!Y:Y,"0")</f>
        <v>0</v>
      </c>
      <c r="M114">
        <f>COUNTIF(Spáči_mluví_ze_sna!Y:Y,"0")</f>
        <v>0</v>
      </c>
      <c r="N114">
        <f>COUNTIF(Kvetoucí_mohyla!Y:Y,"0")</f>
        <v>4</v>
      </c>
      <c r="O114">
        <f>COUNTIF(Slunovrat!Y:Y,"0")</f>
        <v>2</v>
      </c>
      <c r="P114">
        <f>COUNTIF(Hromnice_hoří!Y:Y,"0")</f>
        <v>2</v>
      </c>
      <c r="R114" s="11">
        <v>0</v>
      </c>
      <c r="S114">
        <f>SUM(E114:P114)</f>
        <v>19</v>
      </c>
      <c r="T114" s="9">
        <f>S114/$S$118</f>
        <v>0.1366906474820144</v>
      </c>
    </row>
    <row r="115" spans="2:21">
      <c r="B115" s="94"/>
      <c r="D115" s="11">
        <v>1</v>
      </c>
      <c r="E115">
        <f>COUNTIF(Hory!Y:Y,"1")</f>
        <v>3</v>
      </c>
      <c r="F115">
        <f>COUNTIF(Zavolej!Y:Y,"1")</f>
        <v>2</v>
      </c>
      <c r="G115">
        <f>COUNTIF(Ještě_jaro!Y:Y,"1")</f>
        <v>2</v>
      </c>
      <c r="H115">
        <f>COUNTIF(Ženy_na_ohnici!Y:Y,"1")</f>
        <v>1</v>
      </c>
      <c r="I115">
        <f>COUNTIF(Větroplach!Y:Y,"1")</f>
        <v>4</v>
      </c>
      <c r="J115">
        <f>COUNTIF(Na_hřbitově!Y:Y,"1")</f>
        <v>2</v>
      </c>
      <c r="K115">
        <f>COUNTIF(Rekonvalescent!Y:Y,"1")</f>
        <v>4</v>
      </c>
      <c r="L115">
        <f>COUNTIF(Píseň_o_studni!Y:Y,"1")</f>
        <v>6</v>
      </c>
      <c r="M115">
        <f>COUNTIF(Spáči_mluví_ze_sna!Y:Y,"1")</f>
        <v>2</v>
      </c>
      <c r="N115">
        <f>COUNTIF(Kvetoucí_mohyla!Y:Y,"1")</f>
        <v>4</v>
      </c>
      <c r="O115">
        <f>COUNTIF(Slunovrat!Y:Y,"1")</f>
        <v>6</v>
      </c>
      <c r="P115">
        <f>COUNTIF(Hromnice_hoří!Y:Y,"1")</f>
        <v>7</v>
      </c>
      <c r="R115" s="11">
        <v>1</v>
      </c>
      <c r="S115">
        <f t="shared" ref="S115:S116" si="7">SUM(E115:P115)</f>
        <v>43</v>
      </c>
      <c r="T115" s="9">
        <f>S115/$S$118</f>
        <v>0.30935251798561153</v>
      </c>
    </row>
    <row r="116" spans="2:21">
      <c r="D116" s="11">
        <v>2</v>
      </c>
      <c r="E116">
        <f>COUNTIF(Hory!Y:Y,"2")</f>
        <v>8</v>
      </c>
      <c r="F116">
        <f>COUNTIF(Zavolej!Y:Y,"2")</f>
        <v>4</v>
      </c>
      <c r="G116">
        <f>COUNTIF(Ještě_jaro!Y:Y,"2")</f>
        <v>5</v>
      </c>
      <c r="H116">
        <f>COUNTIF(Ženy_na_ohnici!Y:Y,"2")</f>
        <v>8</v>
      </c>
      <c r="I116">
        <f>COUNTIF(Větroplach!Y:Y,"2")</f>
        <v>5</v>
      </c>
      <c r="J116">
        <f>COUNTIF(Na_hřbitově!Y:Y,"2")</f>
        <v>10</v>
      </c>
      <c r="K116">
        <f>COUNTIF(Rekonvalescent!Y:Y,"2")</f>
        <v>5</v>
      </c>
      <c r="L116">
        <f>COUNTIF(Píseň_o_studni!Y:Y,"2")</f>
        <v>4</v>
      </c>
      <c r="M116">
        <f>COUNTIF(Spáči_mluví_ze_sna!Y:Y,"2")</f>
        <v>8</v>
      </c>
      <c r="N116">
        <f>COUNTIF(Kvetoucí_mohyla!Y:Y,"2")</f>
        <v>7</v>
      </c>
      <c r="O116">
        <f>COUNTIF(Slunovrat!Y:Y,"2")</f>
        <v>3</v>
      </c>
      <c r="P116">
        <f>COUNTIF(Hromnice_hoří!Y:Y,"2")</f>
        <v>10</v>
      </c>
      <c r="R116" s="11">
        <v>2</v>
      </c>
      <c r="S116">
        <f t="shared" si="7"/>
        <v>77</v>
      </c>
      <c r="T116" s="9">
        <f>S116/$S$118</f>
        <v>0.5539568345323741</v>
      </c>
    </row>
    <row r="118" spans="2:21">
      <c r="R118" t="s">
        <v>591</v>
      </c>
      <c r="S118">
        <f>SUM(S114:S116)</f>
        <v>139</v>
      </c>
    </row>
    <row r="119" spans="2:21"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</row>
    <row r="120" spans="2:21">
      <c r="C120" s="13"/>
    </row>
  </sheetData>
  <mergeCells count="9">
    <mergeCell ref="B64:B66"/>
    <mergeCell ref="B79:B81"/>
    <mergeCell ref="B113:B115"/>
    <mergeCell ref="B2:B4"/>
    <mergeCell ref="B11:B13"/>
    <mergeCell ref="B19:B21"/>
    <mergeCell ref="B27:B29"/>
    <mergeCell ref="B37:B39"/>
    <mergeCell ref="B48:B50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FADC-C679-4F26-8490-CA5D34BED960}">
  <dimension ref="A2:Y114"/>
  <sheetViews>
    <sheetView zoomScale="89" workbookViewId="0">
      <selection activeCell="M7" sqref="M7"/>
    </sheetView>
  </sheetViews>
  <sheetFormatPr defaultRowHeight="14.45"/>
  <cols>
    <col min="1" max="1" width="36.5703125" bestFit="1" customWidth="1"/>
    <col min="2" max="2" width="17.7109375" customWidth="1"/>
    <col min="3" max="3" width="9.7109375" customWidth="1"/>
    <col min="4" max="4" width="15.5703125" customWidth="1"/>
    <col min="5" max="5" width="11.140625" customWidth="1"/>
    <col min="6" max="6" width="11" style="21" customWidth="1"/>
    <col min="7" max="7" width="14.28515625" customWidth="1"/>
    <col min="8" max="8" width="13" style="21" customWidth="1"/>
    <col min="9" max="9" width="11.7109375" customWidth="1"/>
    <col min="10" max="10" width="15.7109375" style="21" customWidth="1"/>
    <col min="11" max="11" width="13.7109375" customWidth="1"/>
    <col min="12" max="12" width="15.7109375" customWidth="1"/>
    <col min="13" max="13" width="16.7109375" customWidth="1"/>
    <col min="14" max="14" width="15.28515625" style="21" customWidth="1"/>
    <col min="15" max="15" width="13.140625" style="21" customWidth="1"/>
    <col min="16" max="16" width="13.28515625" customWidth="1"/>
    <col min="17" max="17" width="16.140625" customWidth="1"/>
    <col min="18" max="18" width="15.7109375" customWidth="1"/>
    <col min="21" max="21" width="9.28515625" customWidth="1"/>
    <col min="22" max="22" width="18.140625" customWidth="1"/>
  </cols>
  <sheetData>
    <row r="2" spans="1:21">
      <c r="A2" s="1" t="s">
        <v>656</v>
      </c>
      <c r="B2" s="20">
        <f>12/290</f>
        <v>4.1379310344827586E-2</v>
      </c>
      <c r="C2" s="1" t="s">
        <v>657</v>
      </c>
      <c r="D2" s="24"/>
    </row>
    <row r="3" spans="1:21">
      <c r="A3" s="21" t="s">
        <v>658</v>
      </c>
      <c r="B3" s="15"/>
      <c r="C3" s="15"/>
      <c r="D3" s="15"/>
      <c r="E3" s="15"/>
      <c r="F3" s="22"/>
      <c r="G3" s="15"/>
      <c r="H3" s="22"/>
      <c r="I3" s="15"/>
      <c r="J3" s="22"/>
      <c r="K3" s="15"/>
      <c r="L3" s="15"/>
      <c r="M3" s="15"/>
      <c r="N3" s="22"/>
      <c r="O3" s="22"/>
      <c r="P3" s="15"/>
      <c r="Q3" s="15"/>
      <c r="R3" s="15"/>
      <c r="S3" s="15"/>
      <c r="T3" s="15"/>
      <c r="U3" s="15"/>
    </row>
    <row r="5" spans="1:21">
      <c r="B5" s="56" t="s">
        <v>21</v>
      </c>
      <c r="E5" t="s">
        <v>7</v>
      </c>
      <c r="F5" s="21" t="s">
        <v>104</v>
      </c>
      <c r="G5" t="s">
        <v>138</v>
      </c>
      <c r="H5" s="21" t="s">
        <v>169</v>
      </c>
      <c r="I5" t="s">
        <v>216</v>
      </c>
      <c r="J5" s="21" t="s">
        <v>244</v>
      </c>
      <c r="K5" t="s">
        <v>292</v>
      </c>
      <c r="L5" t="s">
        <v>320</v>
      </c>
      <c r="M5" t="s">
        <v>346</v>
      </c>
      <c r="N5" s="21" t="s">
        <v>372</v>
      </c>
      <c r="O5" s="21" t="s">
        <v>421</v>
      </c>
      <c r="P5" t="s">
        <v>464</v>
      </c>
      <c r="S5" s="8" t="s">
        <v>590</v>
      </c>
      <c r="T5" s="8" t="s">
        <v>538</v>
      </c>
    </row>
    <row r="6" spans="1:21">
      <c r="B6" s="57"/>
      <c r="D6" s="12">
        <v>1</v>
      </c>
      <c r="E6">
        <v>0</v>
      </c>
      <c r="F6" s="21">
        <f>COUNTIF(Zavolej!AG:AG,"1")</f>
        <v>2</v>
      </c>
      <c r="G6">
        <v>0</v>
      </c>
      <c r="H6" s="21">
        <f>COUNTIF(Ženy_na_ohnici!AG:AG,"1")</f>
        <v>1</v>
      </c>
      <c r="I6">
        <v>0</v>
      </c>
      <c r="J6" s="21">
        <f>COUNTIF(Na_hřbitově!AG:AG,"1")</f>
        <v>2</v>
      </c>
      <c r="K6">
        <v>0</v>
      </c>
      <c r="L6">
        <v>0</v>
      </c>
      <c r="M6">
        <v>0</v>
      </c>
      <c r="N6" s="21">
        <f>COUNTIF(Kvetoucí_mohyla!AG:AG,"1")</f>
        <v>5</v>
      </c>
      <c r="O6" s="21">
        <f>COUNTIF(Slunovrat!AG:AG,"1")</f>
        <v>1</v>
      </c>
      <c r="P6">
        <v>0</v>
      </c>
      <c r="R6" s="12">
        <v>1</v>
      </c>
      <c r="S6">
        <f>SUM(E6:P6)</f>
        <v>11</v>
      </c>
      <c r="T6" s="9">
        <f>S6/$S$10</f>
        <v>0.57894736842105265</v>
      </c>
    </row>
    <row r="7" spans="1:21">
      <c r="B7" s="58"/>
      <c r="D7" s="12">
        <v>2</v>
      </c>
      <c r="E7">
        <v>0</v>
      </c>
      <c r="F7" s="21">
        <f>COUNTIF(Zavolej!AG:AG,"2")</f>
        <v>3</v>
      </c>
      <c r="G7">
        <v>0</v>
      </c>
      <c r="H7" s="21">
        <f>COUNTIF(Ženy_na_ohnici!AG:AG,"2")</f>
        <v>2</v>
      </c>
      <c r="I7">
        <v>0</v>
      </c>
      <c r="J7" s="21">
        <f>COUNTIF(Na_hřbitově!AG:AG,"2")</f>
        <v>1</v>
      </c>
      <c r="K7">
        <v>0</v>
      </c>
      <c r="L7">
        <v>0</v>
      </c>
      <c r="M7">
        <v>0</v>
      </c>
      <c r="N7" s="21">
        <f>COUNTIF(Kvetoucí_mohyla!AG:AG,"2")</f>
        <v>1</v>
      </c>
      <c r="O7" s="21">
        <f>COUNTIF(Slunovrat!AG:AG,"2")</f>
        <v>1</v>
      </c>
      <c r="P7">
        <v>0</v>
      </c>
      <c r="R7" s="12">
        <v>2</v>
      </c>
      <c r="S7">
        <f>SUM(E7:P7)</f>
        <v>8</v>
      </c>
      <c r="T7" s="9">
        <f>S7/$S$10</f>
        <v>0.42105263157894735</v>
      </c>
    </row>
    <row r="8" spans="1:21">
      <c r="D8" s="12"/>
      <c r="R8" s="12"/>
      <c r="T8" s="9"/>
    </row>
    <row r="10" spans="1:21">
      <c r="R10" t="s">
        <v>591</v>
      </c>
      <c r="S10">
        <f>SUM(S6:S8)</f>
        <v>19</v>
      </c>
    </row>
    <row r="11" spans="1:21">
      <c r="B11" s="15"/>
      <c r="C11" s="15"/>
      <c r="D11" s="15"/>
      <c r="E11" s="15"/>
      <c r="F11" s="22"/>
      <c r="G11" s="15"/>
      <c r="H11" s="22"/>
      <c r="I11" s="15"/>
      <c r="J11" s="22"/>
      <c r="K11" s="15"/>
      <c r="L11" s="15"/>
      <c r="M11" s="15"/>
      <c r="N11" s="22"/>
      <c r="O11" s="22"/>
      <c r="P11" s="15"/>
      <c r="Q11" s="15"/>
      <c r="R11" s="15"/>
      <c r="S11" s="15"/>
      <c r="T11" s="15"/>
      <c r="U11" s="15"/>
    </row>
    <row r="13" spans="1:21" ht="14.45" customHeight="1">
      <c r="B13" s="56" t="s">
        <v>592</v>
      </c>
      <c r="E13" t="s">
        <v>7</v>
      </c>
      <c r="F13" s="21" t="s">
        <v>104</v>
      </c>
      <c r="G13" t="s">
        <v>138</v>
      </c>
      <c r="H13" s="21" t="s">
        <v>169</v>
      </c>
      <c r="I13" t="s">
        <v>216</v>
      </c>
      <c r="J13" s="21" t="s">
        <v>244</v>
      </c>
      <c r="K13" t="s">
        <v>292</v>
      </c>
      <c r="L13" t="s">
        <v>320</v>
      </c>
      <c r="M13" t="s">
        <v>346</v>
      </c>
      <c r="N13" s="21" t="s">
        <v>372</v>
      </c>
      <c r="O13" s="21" t="s">
        <v>421</v>
      </c>
      <c r="P13" t="s">
        <v>464</v>
      </c>
      <c r="S13" s="8" t="s">
        <v>590</v>
      </c>
      <c r="T13" s="8" t="s">
        <v>538</v>
      </c>
    </row>
    <row r="14" spans="1:21">
      <c r="B14" s="57"/>
      <c r="D14" s="12" t="s">
        <v>593</v>
      </c>
      <c r="E14">
        <v>0</v>
      </c>
      <c r="F14" s="21">
        <f>COUNTIF(Zavolej!AH:AH,"O")</f>
        <v>4</v>
      </c>
      <c r="G14">
        <v>0</v>
      </c>
      <c r="H14" s="21">
        <f>COUNTIF(Ženy_na_ohnici!AH:AH,"O")</f>
        <v>2</v>
      </c>
      <c r="I14">
        <v>0</v>
      </c>
      <c r="J14" s="21">
        <f>COUNTIF(Na_hřbitově!AH:AH,"O")</f>
        <v>1</v>
      </c>
      <c r="K14">
        <v>0</v>
      </c>
      <c r="L14">
        <v>0</v>
      </c>
      <c r="M14">
        <v>0</v>
      </c>
      <c r="N14" s="21">
        <f>COUNTIF(Kvetoucí_mohyla!AH:AH,"O")</f>
        <v>2</v>
      </c>
      <c r="O14" s="21">
        <f>COUNTIF(Slunovrat!AH:AH,"O")</f>
        <v>1</v>
      </c>
      <c r="P14">
        <v>0</v>
      </c>
      <c r="R14" s="12" t="s">
        <v>593</v>
      </c>
      <c r="S14">
        <f>SUM(E14:P14)</f>
        <v>10</v>
      </c>
      <c r="T14" s="9">
        <f>S14/$S$18</f>
        <v>0.52631578947368418</v>
      </c>
    </row>
    <row r="15" spans="1:21">
      <c r="B15" s="58"/>
      <c r="D15" s="12" t="s">
        <v>594</v>
      </c>
      <c r="E15">
        <v>0</v>
      </c>
      <c r="F15" s="21">
        <f>COUNTIF(Zavolej!AH:AH,"Z")</f>
        <v>1</v>
      </c>
      <c r="G15">
        <v>0</v>
      </c>
      <c r="H15" s="21">
        <f>COUNTIF(Ženy_na_ohnici!AH:AH,"Z")</f>
        <v>1</v>
      </c>
      <c r="I15">
        <v>0</v>
      </c>
      <c r="J15" s="21">
        <f>COUNTIF(Na_hřbitově!AH:AH,"Z")</f>
        <v>2</v>
      </c>
      <c r="K15">
        <v>0</v>
      </c>
      <c r="L15">
        <v>0</v>
      </c>
      <c r="M15">
        <v>0</v>
      </c>
      <c r="N15" s="21">
        <f>COUNTIF(Kvetoucí_mohyla!AH:AH,"Z")</f>
        <v>4</v>
      </c>
      <c r="O15" s="21">
        <f>COUNTIF(Slunovrat!AH:AH,"Z")</f>
        <v>1</v>
      </c>
      <c r="P15">
        <v>0</v>
      </c>
      <c r="R15" s="12" t="s">
        <v>594</v>
      </c>
      <c r="S15">
        <f>SUM(E15:P15)</f>
        <v>9</v>
      </c>
      <c r="T15" s="9">
        <f>S15/$S$18</f>
        <v>0.47368421052631576</v>
      </c>
    </row>
    <row r="16" spans="1:21">
      <c r="D16" s="12"/>
      <c r="R16" s="12"/>
      <c r="T16" s="9"/>
    </row>
    <row r="18" spans="2:21">
      <c r="R18" t="s">
        <v>591</v>
      </c>
      <c r="S18">
        <f>SUM(S14:S16)</f>
        <v>19</v>
      </c>
    </row>
    <row r="19" spans="2:21">
      <c r="B19" s="15"/>
      <c r="C19" s="15"/>
      <c r="D19" s="16"/>
      <c r="E19" s="15"/>
      <c r="F19" s="22"/>
      <c r="G19" s="15"/>
      <c r="H19" s="22"/>
      <c r="I19" s="15"/>
      <c r="J19" s="22"/>
      <c r="K19" s="15"/>
      <c r="L19" s="15"/>
      <c r="M19" s="15"/>
      <c r="N19" s="22"/>
      <c r="O19" s="22"/>
      <c r="P19" s="15"/>
      <c r="Q19" s="15"/>
      <c r="R19" s="15"/>
      <c r="S19" s="15"/>
      <c r="T19" s="15"/>
      <c r="U19" s="15"/>
    </row>
    <row r="20" spans="2:21">
      <c r="B20" s="23"/>
      <c r="D20" s="12"/>
    </row>
    <row r="21" spans="2:21">
      <c r="B21" s="56" t="s">
        <v>10</v>
      </c>
      <c r="E21" t="s">
        <v>7</v>
      </c>
      <c r="F21" s="21" t="s">
        <v>104</v>
      </c>
      <c r="G21" s="11" t="s">
        <v>138</v>
      </c>
      <c r="H21" s="21" t="s">
        <v>169</v>
      </c>
      <c r="I21" t="s">
        <v>216</v>
      </c>
      <c r="J21" s="21" t="s">
        <v>244</v>
      </c>
      <c r="K21" t="s">
        <v>292</v>
      </c>
      <c r="L21" t="s">
        <v>320</v>
      </c>
      <c r="M21" t="s">
        <v>346</v>
      </c>
      <c r="N21" s="21" t="s">
        <v>372</v>
      </c>
      <c r="O21" s="21" t="s">
        <v>421</v>
      </c>
      <c r="P21" t="s">
        <v>464</v>
      </c>
      <c r="S21" s="8" t="s">
        <v>590</v>
      </c>
      <c r="T21" s="8" t="s">
        <v>538</v>
      </c>
    </row>
    <row r="22" spans="2:21">
      <c r="B22" s="57"/>
      <c r="D22" t="s">
        <v>45</v>
      </c>
      <c r="E22">
        <v>0</v>
      </c>
      <c r="F22" s="21">
        <f>COUNTIF(Zavolej!AI:AI,"M")</f>
        <v>2</v>
      </c>
      <c r="G22">
        <v>0</v>
      </c>
      <c r="H22" s="21">
        <f>COUNTIF(Ženy_na_ohnici!AI:AI,"M")</f>
        <v>1</v>
      </c>
      <c r="I22">
        <v>0</v>
      </c>
      <c r="J22" s="21">
        <f>COUNTIF(Na_hřbitově!AI:AI,"M")</f>
        <v>2</v>
      </c>
      <c r="K22">
        <v>0</v>
      </c>
      <c r="L22">
        <v>0</v>
      </c>
      <c r="M22">
        <v>0</v>
      </c>
      <c r="N22" s="21">
        <f>COUNTIF(Kvetoucí_mohyla!AI:AI,"M")</f>
        <v>6</v>
      </c>
      <c r="O22" s="21">
        <f>COUNTIF(Slunovrat!AI:AI,"M")</f>
        <v>0</v>
      </c>
      <c r="P22">
        <v>0</v>
      </c>
      <c r="R22" t="s">
        <v>45</v>
      </c>
      <c r="S22">
        <f>SUM(E22:P22)</f>
        <v>11</v>
      </c>
      <c r="T22" s="9">
        <f>S22/$S$28</f>
        <v>0.57894736842105265</v>
      </c>
    </row>
    <row r="23" spans="2:21">
      <c r="B23" s="58"/>
      <c r="D23" t="s">
        <v>32</v>
      </c>
      <c r="E23">
        <v>0</v>
      </c>
      <c r="F23" s="21">
        <f>COUNTIF(Zavolej!AI:AI,"Ž")</f>
        <v>3</v>
      </c>
      <c r="G23">
        <v>0</v>
      </c>
      <c r="H23" s="21">
        <f>COUNTIF(Ženy_na_ohnici!AI:AI,"Ž")</f>
        <v>2</v>
      </c>
      <c r="I23">
        <v>0</v>
      </c>
      <c r="J23" s="21">
        <f>COUNTIF(Na_hřbitově!AI:AI,"Ž")</f>
        <v>1</v>
      </c>
      <c r="K23">
        <v>0</v>
      </c>
      <c r="L23">
        <v>0</v>
      </c>
      <c r="M23">
        <v>0</v>
      </c>
      <c r="N23" s="21">
        <f>COUNTIF(Kvetoucí_mohyla!AI:AI,"Ž")</f>
        <v>0</v>
      </c>
      <c r="O23" s="21">
        <f>COUNTIF(Slunovrat!AI:AI,"Ž")</f>
        <v>2</v>
      </c>
      <c r="P23">
        <v>0</v>
      </c>
      <c r="R23" t="s">
        <v>32</v>
      </c>
      <c r="S23">
        <f>SUM(E23:P23)</f>
        <v>8</v>
      </c>
      <c r="T23" s="9">
        <f t="shared" ref="T23:T26" si="0">S23/$S$28</f>
        <v>0.42105263157894735</v>
      </c>
    </row>
    <row r="24" spans="2:21">
      <c r="D24" t="s">
        <v>455</v>
      </c>
      <c r="E24">
        <v>0</v>
      </c>
      <c r="F24" s="21">
        <f>COUNTIF(Zavolej!AI:AI,"M/Ž")</f>
        <v>0</v>
      </c>
      <c r="G24">
        <v>0</v>
      </c>
      <c r="H24" s="21">
        <f>COUNTIF(Ženy_na_ohnici!AI:AI,"M/Ž")</f>
        <v>0</v>
      </c>
      <c r="I24">
        <f>COUNTIF(Větroplach!R:R,"M/Ž")</f>
        <v>0</v>
      </c>
      <c r="J24" s="21">
        <f>COUNTIF(Na_hřbitově!AI:AI,"M/Ž")</f>
        <v>0</v>
      </c>
      <c r="K24">
        <v>0</v>
      </c>
      <c r="L24">
        <v>0</v>
      </c>
      <c r="M24">
        <v>0</v>
      </c>
      <c r="N24" s="21">
        <f>COUNTIF(Kvetoucí_mohyla!AI:AI,"M/Ž")</f>
        <v>0</v>
      </c>
      <c r="O24" s="21">
        <f>COUNTIF(Slunovrat!AI:AI,"M/Ž")</f>
        <v>0</v>
      </c>
      <c r="P24">
        <v>0</v>
      </c>
      <c r="R24" t="s">
        <v>455</v>
      </c>
      <c r="S24">
        <f>SUM(E24:P24)</f>
        <v>0</v>
      </c>
      <c r="T24" s="9">
        <f t="shared" si="0"/>
        <v>0</v>
      </c>
    </row>
    <row r="25" spans="2:21">
      <c r="D25" t="s">
        <v>99</v>
      </c>
      <c r="E25">
        <v>0</v>
      </c>
      <c r="F25" s="21">
        <f>COUNTIF(Zavolej!AI:AI,"A/M")</f>
        <v>0</v>
      </c>
      <c r="G25">
        <v>0</v>
      </c>
      <c r="H25" s="21">
        <f>COUNTIF(Ženy_na_ohnici!AI:AI,"A/M")</f>
        <v>0</v>
      </c>
      <c r="I25">
        <f>COUNTIF(Větroplach!R:R,"A/M")</f>
        <v>0</v>
      </c>
      <c r="J25" s="21">
        <f>COUNTIF(Na_hřbitově!AI:AI,"A/M")</f>
        <v>0</v>
      </c>
      <c r="K25">
        <v>0</v>
      </c>
      <c r="L25">
        <v>0</v>
      </c>
      <c r="M25">
        <v>0</v>
      </c>
      <c r="N25" s="21">
        <f>COUNTIF(Kvetoucí_mohyla!AI:AI,"A/M")</f>
        <v>0</v>
      </c>
      <c r="O25" s="21">
        <f>COUNTIF(Slunovrat!AI:AI,"A/M")</f>
        <v>0</v>
      </c>
      <c r="P25">
        <v>0</v>
      </c>
      <c r="R25" t="s">
        <v>99</v>
      </c>
      <c r="S25">
        <f>SUM(E25:P25)</f>
        <v>0</v>
      </c>
      <c r="T25" s="9">
        <f t="shared" si="0"/>
        <v>0</v>
      </c>
    </row>
    <row r="26" spans="2:21">
      <c r="D26" t="s">
        <v>146</v>
      </c>
      <c r="E26">
        <f>COUNTIF(Hory!R:R,"M/A")</f>
        <v>0</v>
      </c>
      <c r="F26" s="21">
        <f>COUNTIF(Zavolej!AI:AI,"M/A")</f>
        <v>0</v>
      </c>
      <c r="G26">
        <v>0</v>
      </c>
      <c r="H26" s="21">
        <f>COUNTIF(Ženy_na_ohnici!AI:AI,"M/A")</f>
        <v>0</v>
      </c>
      <c r="I26">
        <f>COUNTIF(Větroplach!R:R,"M/A")</f>
        <v>0</v>
      </c>
      <c r="J26" s="21">
        <f>COUNTIF(Na_hřbitově!AI:AI,"M/A")</f>
        <v>0</v>
      </c>
      <c r="K26">
        <v>0</v>
      </c>
      <c r="L26">
        <v>0</v>
      </c>
      <c r="M26">
        <v>0</v>
      </c>
      <c r="N26" s="21">
        <f>COUNTIF(Kvetoucí_mohyla!AI:AI,"M/A")</f>
        <v>0</v>
      </c>
      <c r="O26" s="21">
        <f>COUNTIF(Slunovrat!AI:AI,"M/A")</f>
        <v>0</v>
      </c>
      <c r="P26">
        <v>0</v>
      </c>
      <c r="R26" t="s">
        <v>146</v>
      </c>
      <c r="S26">
        <f>SUM(E26:P26)</f>
        <v>0</v>
      </c>
      <c r="T26" s="9">
        <f t="shared" si="0"/>
        <v>0</v>
      </c>
    </row>
    <row r="27" spans="2:21">
      <c r="T27" s="9"/>
    </row>
    <row r="28" spans="2:21">
      <c r="R28" t="s">
        <v>591</v>
      </c>
      <c r="S28">
        <f>SUM(S22:S26)</f>
        <v>19</v>
      </c>
    </row>
    <row r="29" spans="2:21">
      <c r="B29" s="15"/>
      <c r="C29" s="15"/>
      <c r="D29" s="15"/>
      <c r="E29" s="15"/>
      <c r="F29" s="22"/>
      <c r="G29" s="15"/>
      <c r="H29" s="22"/>
      <c r="I29" s="15"/>
      <c r="J29" s="22"/>
      <c r="K29" s="15"/>
      <c r="L29" s="15"/>
      <c r="M29" s="15"/>
      <c r="N29" s="22"/>
      <c r="O29" s="22"/>
      <c r="P29" s="15"/>
      <c r="Q29" s="15"/>
      <c r="R29" s="15"/>
      <c r="S29" s="15"/>
      <c r="T29" s="15"/>
      <c r="U29" s="15"/>
    </row>
    <row r="31" spans="2:21" ht="14.45" customHeight="1">
      <c r="B31" s="56" t="s">
        <v>595</v>
      </c>
      <c r="E31" t="s">
        <v>7</v>
      </c>
      <c r="F31" s="21" t="s">
        <v>104</v>
      </c>
      <c r="G31" t="s">
        <v>138</v>
      </c>
      <c r="H31" s="21" t="s">
        <v>169</v>
      </c>
      <c r="I31" t="s">
        <v>216</v>
      </c>
      <c r="J31" s="21" t="s">
        <v>244</v>
      </c>
      <c r="K31" t="s">
        <v>292</v>
      </c>
      <c r="L31" t="s">
        <v>320</v>
      </c>
      <c r="M31" t="s">
        <v>346</v>
      </c>
      <c r="N31" s="21" t="s">
        <v>372</v>
      </c>
      <c r="O31" s="21" t="s">
        <v>421</v>
      </c>
      <c r="P31" t="s">
        <v>464</v>
      </c>
      <c r="S31" s="8" t="s">
        <v>590</v>
      </c>
      <c r="T31" s="8" t="s">
        <v>538</v>
      </c>
    </row>
    <row r="32" spans="2:21">
      <c r="B32" s="57"/>
      <c r="D32" s="12">
        <v>1</v>
      </c>
      <c r="E32">
        <v>0</v>
      </c>
      <c r="F32" s="21">
        <f>COUNTIF(Zavolej!AJ:AK,"1")</f>
        <v>1</v>
      </c>
      <c r="G32">
        <v>0</v>
      </c>
      <c r="H32" s="21">
        <f>COUNTIF(Ženy_na_ohnici!AJ:AK,"1")</f>
        <v>1</v>
      </c>
      <c r="I32">
        <v>0</v>
      </c>
      <c r="J32" s="21">
        <f>COUNTIF(Na_hřbitově!AJ:AK,"1")</f>
        <v>4</v>
      </c>
      <c r="K32">
        <v>0</v>
      </c>
      <c r="L32">
        <v>0</v>
      </c>
      <c r="M32">
        <v>0</v>
      </c>
      <c r="N32" s="21">
        <f>COUNTIF(Kvetoucí_mohyla!AJ:AK,"1")</f>
        <v>9</v>
      </c>
      <c r="O32" s="21">
        <f>COUNTIF(Slunovrat!AJ:AK,"1")</f>
        <v>0</v>
      </c>
      <c r="P32">
        <v>0</v>
      </c>
      <c r="R32" s="12">
        <v>1</v>
      </c>
      <c r="S32">
        <f t="shared" ref="S32:S37" si="1">SUM(E32:P32)</f>
        <v>15</v>
      </c>
      <c r="T32" s="9">
        <f t="shared" ref="T32:T37" si="2">S32/$S$39</f>
        <v>0.39473684210526316</v>
      </c>
    </row>
    <row r="33" spans="2:25">
      <c r="B33" s="58"/>
      <c r="D33" s="12">
        <v>2</v>
      </c>
      <c r="E33">
        <v>0</v>
      </c>
      <c r="F33" s="21">
        <f>COUNTIF(Zavolej!AJ:AK,"2")</f>
        <v>3</v>
      </c>
      <c r="G33">
        <v>0</v>
      </c>
      <c r="H33" s="21">
        <f>COUNTIF(Ženy_na_ohnici!AJ:AK,"2")</f>
        <v>2</v>
      </c>
      <c r="I33">
        <v>0</v>
      </c>
      <c r="J33" s="21">
        <f>COUNTIF(Na_hřbitově!AJ:AK,"2")</f>
        <v>1</v>
      </c>
      <c r="K33">
        <v>0</v>
      </c>
      <c r="L33">
        <v>0</v>
      </c>
      <c r="M33">
        <v>0</v>
      </c>
      <c r="N33" s="21">
        <f>COUNTIF(Kvetoucí_mohyla!AJ:AK,"2")</f>
        <v>0</v>
      </c>
      <c r="O33" s="21">
        <f>COUNTIF(Slunovrat!AJ:AK,"2")</f>
        <v>1</v>
      </c>
      <c r="P33">
        <v>0</v>
      </c>
      <c r="R33" s="12">
        <v>2</v>
      </c>
      <c r="S33">
        <f t="shared" si="1"/>
        <v>7</v>
      </c>
      <c r="T33" s="9">
        <f t="shared" si="2"/>
        <v>0.18421052631578946</v>
      </c>
    </row>
    <row r="34" spans="2:25">
      <c r="D34" s="12">
        <v>3</v>
      </c>
      <c r="E34">
        <v>0</v>
      </c>
      <c r="F34" s="21">
        <f>COUNTIF(Zavolej!AJ:AK,"3")</f>
        <v>3</v>
      </c>
      <c r="G34">
        <v>0</v>
      </c>
      <c r="H34" s="21">
        <f>COUNTIF(Ženy_na_ohnici!AJ:AK,"3")</f>
        <v>1</v>
      </c>
      <c r="I34">
        <v>0</v>
      </c>
      <c r="J34" s="21">
        <f>COUNTIF(Na_hřbitově!AJ:AK,"3")</f>
        <v>0</v>
      </c>
      <c r="K34">
        <v>0</v>
      </c>
      <c r="L34">
        <v>0</v>
      </c>
      <c r="M34">
        <v>0</v>
      </c>
      <c r="N34" s="21">
        <f>COUNTIF(Kvetoucí_mohyla!AJ:AK,"3")</f>
        <v>3</v>
      </c>
      <c r="O34" s="21">
        <f>COUNTIF(Slunovrat!AJ:AK,"3")</f>
        <v>0</v>
      </c>
      <c r="P34">
        <v>0</v>
      </c>
      <c r="R34" s="12">
        <v>3</v>
      </c>
      <c r="S34">
        <f t="shared" si="1"/>
        <v>7</v>
      </c>
      <c r="T34" s="9">
        <f t="shared" si="2"/>
        <v>0.18421052631578946</v>
      </c>
    </row>
    <row r="35" spans="2:25">
      <c r="D35" s="12">
        <v>4</v>
      </c>
      <c r="E35">
        <v>0</v>
      </c>
      <c r="F35" s="21">
        <f>COUNTIF(Zavolej!AJ:AK,"4")</f>
        <v>3</v>
      </c>
      <c r="G35">
        <f>COUNTIF(Ještě_jaro!S:T,"4")</f>
        <v>0</v>
      </c>
      <c r="H35" s="21">
        <f>COUNTIF(Ženy_na_ohnici!AJ:AK,"4")</f>
        <v>2</v>
      </c>
      <c r="I35">
        <v>0</v>
      </c>
      <c r="J35" s="21">
        <f>COUNTIF(Na_hřbitově!AJ:AK,"4")</f>
        <v>1</v>
      </c>
      <c r="K35">
        <v>0</v>
      </c>
      <c r="L35">
        <v>0</v>
      </c>
      <c r="M35">
        <f>COUNTIF(Spáči_mluví_ze_sna!S:T,"4")</f>
        <v>0</v>
      </c>
      <c r="N35" s="21">
        <f>COUNTIF(Kvetoucí_mohyla!AJ:AK,"4")</f>
        <v>0</v>
      </c>
      <c r="O35" s="21">
        <f>COUNTIF(Slunovrat!AJ:AK,"4")</f>
        <v>3</v>
      </c>
      <c r="P35">
        <v>0</v>
      </c>
      <c r="R35" s="12">
        <v>4</v>
      </c>
      <c r="S35">
        <f t="shared" si="1"/>
        <v>9</v>
      </c>
      <c r="T35" s="9">
        <f t="shared" si="2"/>
        <v>0.23684210526315788</v>
      </c>
    </row>
    <row r="36" spans="2:25">
      <c r="D36" s="12">
        <v>5</v>
      </c>
      <c r="E36">
        <f>COUNTIF(Hory!S:T,"5")</f>
        <v>0</v>
      </c>
      <c r="F36" s="21">
        <f>COUNTIF(Zavolej!AJ:AK,"5")</f>
        <v>0</v>
      </c>
      <c r="G36">
        <f>COUNTIF(Ještě_jaro!S:T,"5")</f>
        <v>0</v>
      </c>
      <c r="H36" s="21">
        <f>COUNTIF(Ženy_na_ohnici!AJ:AK,"5")</f>
        <v>0</v>
      </c>
      <c r="I36">
        <v>0</v>
      </c>
      <c r="J36" s="21">
        <f>COUNTIF(Na_hřbitově!AJ:AK,"5")</f>
        <v>0</v>
      </c>
      <c r="K36">
        <f>COUNTIF(Rekonvalescent!S:T,"5")</f>
        <v>0</v>
      </c>
      <c r="L36">
        <f>COUNTIF(Píseň_o_studni!S:T,"5")</f>
        <v>0</v>
      </c>
      <c r="M36">
        <f>COUNTIF(Spáči_mluví_ze_sna!S:T,"5")</f>
        <v>0</v>
      </c>
      <c r="N36" s="21">
        <f>COUNTIF(Kvetoucí_mohyla!AJ:AK,"5")</f>
        <v>0</v>
      </c>
      <c r="O36" s="21">
        <f>COUNTIF(Slunovrat!AJ:AK,"5")</f>
        <v>0</v>
      </c>
      <c r="P36">
        <v>0</v>
      </c>
      <c r="R36" s="12">
        <v>5</v>
      </c>
      <c r="S36">
        <f t="shared" si="1"/>
        <v>0</v>
      </c>
      <c r="T36" s="9">
        <f t="shared" si="2"/>
        <v>0</v>
      </c>
    </row>
    <row r="37" spans="2:25">
      <c r="D37" s="12">
        <v>6</v>
      </c>
      <c r="E37">
        <f>COUNTIF(Hory!S:T,"6")</f>
        <v>0</v>
      </c>
      <c r="F37" s="21">
        <f>COUNTIF(Zavolej!AJ:AK,"6")</f>
        <v>0</v>
      </c>
      <c r="G37">
        <f>COUNTIF(Ještě_jaro!S:T,"6")</f>
        <v>0</v>
      </c>
      <c r="H37" s="21">
        <f>COUNTIF(Ženy_na_ohnici!AJ:AK,"6")</f>
        <v>0</v>
      </c>
      <c r="I37">
        <f>COUNTIF(Větroplach!S:T,"6")</f>
        <v>0</v>
      </c>
      <c r="J37" s="21">
        <f>COUNTIF(Na_hřbitově!AJ:AK,"6")</f>
        <v>0</v>
      </c>
      <c r="K37">
        <f>COUNTIF(Rekonvalescent!S:T,"6")</f>
        <v>0</v>
      </c>
      <c r="L37">
        <f>COUNTIF(Píseň_o_studni!S:T,"6")</f>
        <v>0</v>
      </c>
      <c r="M37">
        <f>COUNTIF(Spáči_mluví_ze_sna!S:T,"6")</f>
        <v>0</v>
      </c>
      <c r="N37" s="21">
        <f>COUNTIF(Kvetoucí_mohyla!AJ:AK,"6")</f>
        <v>0</v>
      </c>
      <c r="O37" s="21">
        <f>COUNTIF(Slunovrat!AJ:AK,"6")</f>
        <v>0</v>
      </c>
      <c r="P37">
        <f>COUNTIF(Hromnice_hoří!S:T,"6")</f>
        <v>0</v>
      </c>
      <c r="R37" s="12">
        <v>6</v>
      </c>
      <c r="S37">
        <f t="shared" si="1"/>
        <v>0</v>
      </c>
      <c r="T37" s="9">
        <f t="shared" si="2"/>
        <v>0</v>
      </c>
    </row>
    <row r="39" spans="2:25">
      <c r="R39" t="s">
        <v>591</v>
      </c>
      <c r="S39">
        <f>SUM(S32:S37)</f>
        <v>38</v>
      </c>
    </row>
    <row r="40" spans="2:25">
      <c r="B40" s="15"/>
      <c r="C40" s="15"/>
      <c r="D40" s="15"/>
      <c r="E40" s="15"/>
      <c r="F40" s="22"/>
      <c r="G40" s="15"/>
      <c r="H40" s="22"/>
      <c r="I40" s="15"/>
      <c r="J40" s="22"/>
      <c r="K40" s="15"/>
      <c r="L40" s="15"/>
      <c r="M40" s="15"/>
      <c r="N40" s="22"/>
      <c r="O40" s="22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2" spans="2:25" ht="14.45" customHeight="1">
      <c r="B42" s="56" t="s">
        <v>66</v>
      </c>
      <c r="E42" t="s">
        <v>7</v>
      </c>
      <c r="F42" s="21" t="s">
        <v>104</v>
      </c>
      <c r="G42" t="s">
        <v>138</v>
      </c>
      <c r="H42" s="21" t="s">
        <v>169</v>
      </c>
      <c r="I42" t="s">
        <v>216</v>
      </c>
      <c r="J42" s="21" t="s">
        <v>244</v>
      </c>
      <c r="K42" t="s">
        <v>292</v>
      </c>
      <c r="L42" t="s">
        <v>320</v>
      </c>
      <c r="M42" t="s">
        <v>346</v>
      </c>
      <c r="N42" s="21" t="s">
        <v>372</v>
      </c>
      <c r="O42" s="21" t="s">
        <v>421</v>
      </c>
      <c r="P42" t="s">
        <v>464</v>
      </c>
      <c r="S42" s="8" t="s">
        <v>590</v>
      </c>
      <c r="T42" s="8" t="s">
        <v>538</v>
      </c>
      <c r="W42" s="8" t="s">
        <v>590</v>
      </c>
      <c r="X42" s="8" t="s">
        <v>538</v>
      </c>
    </row>
    <row r="43" spans="2:25">
      <c r="B43" s="57"/>
      <c r="D43" s="13" t="s">
        <v>596</v>
      </c>
      <c r="E43">
        <v>0</v>
      </c>
      <c r="F43" s="21">
        <f>COUNTIF(Zavolej!AL:AL,"1/1")</f>
        <v>0</v>
      </c>
      <c r="G43">
        <v>0</v>
      </c>
      <c r="H43" s="21">
        <f>COUNTIF(Ženy_na_ohnici!AL:AL,"1/1")</f>
        <v>0</v>
      </c>
      <c r="I43">
        <v>0</v>
      </c>
      <c r="J43" s="21">
        <f>COUNTIF(Na_hřbitově!AL:AL,"1/1")</f>
        <v>2</v>
      </c>
      <c r="K43">
        <v>0</v>
      </c>
      <c r="L43">
        <v>0</v>
      </c>
      <c r="M43">
        <v>0</v>
      </c>
      <c r="N43" s="21">
        <f>COUNTIF(Kvetoucí_mohyla!AL:AL,"1/1")</f>
        <v>4</v>
      </c>
      <c r="O43" s="21">
        <f>COUNTIF(Slunovrat!AL:AL,"1/1")</f>
        <v>0</v>
      </c>
      <c r="P43">
        <v>0</v>
      </c>
      <c r="R43" s="13" t="s">
        <v>596</v>
      </c>
      <c r="S43">
        <f t="shared" ref="S43:S53" si="3">SUM(E43:P43)</f>
        <v>6</v>
      </c>
      <c r="T43" s="9">
        <f t="shared" ref="T43:T53" si="4">S43/$S$55</f>
        <v>0.31578947368421051</v>
      </c>
      <c r="V43" t="s">
        <v>597</v>
      </c>
      <c r="W43">
        <f>S43+S45+S50</f>
        <v>8</v>
      </c>
      <c r="X43" s="9">
        <f>W43/$W$48</f>
        <v>0.42105263157894735</v>
      </c>
    </row>
    <row r="44" spans="2:25">
      <c r="B44" s="58"/>
      <c r="D44" s="13" t="s">
        <v>598</v>
      </c>
      <c r="E44">
        <v>0</v>
      </c>
      <c r="F44" s="21">
        <f>COUNTIF(Zavolej!AL:AL,"1/3")</f>
        <v>0</v>
      </c>
      <c r="G44">
        <v>0</v>
      </c>
      <c r="H44" s="21">
        <f>COUNTIF(Ženy_na_ohnici!AL:AL,"1/3")</f>
        <v>0</v>
      </c>
      <c r="I44">
        <v>0</v>
      </c>
      <c r="J44" s="21">
        <f>COUNTIF(Na_hřbitově!AL:AL,"1/3")</f>
        <v>0</v>
      </c>
      <c r="K44">
        <v>0</v>
      </c>
      <c r="L44">
        <f>COUNTIF(Píseň_o_studni!U:U,"1/3")</f>
        <v>0</v>
      </c>
      <c r="M44">
        <v>0</v>
      </c>
      <c r="N44" s="21">
        <f>COUNTIF(Kvetoucí_mohyla!AL:AL,"1/3")</f>
        <v>1</v>
      </c>
      <c r="O44" s="21">
        <f>COUNTIF(Slunovrat!AL:AL,"1/3")</f>
        <v>0</v>
      </c>
      <c r="P44">
        <v>0</v>
      </c>
      <c r="R44" s="13" t="s">
        <v>598</v>
      </c>
      <c r="S44">
        <f t="shared" si="3"/>
        <v>1</v>
      </c>
      <c r="T44" s="9">
        <f t="shared" si="4"/>
        <v>5.2631578947368418E-2</v>
      </c>
      <c r="V44" s="13" t="s">
        <v>599</v>
      </c>
      <c r="W44">
        <f>S52</f>
        <v>1</v>
      </c>
      <c r="X44" s="9">
        <f>W44/$W$48</f>
        <v>5.2631578947368418E-2</v>
      </c>
    </row>
    <row r="45" spans="2:25">
      <c r="D45" s="13" t="s">
        <v>600</v>
      </c>
      <c r="E45">
        <v>0</v>
      </c>
      <c r="F45" s="21">
        <f>COUNTIF(Zavolej!AL:AL,"2/2")</f>
        <v>0</v>
      </c>
      <c r="G45">
        <v>0</v>
      </c>
      <c r="H45" s="21">
        <f>COUNTIF(Ženy_na_ohnici!AL:AL,"2/2")</f>
        <v>0</v>
      </c>
      <c r="I45">
        <v>0</v>
      </c>
      <c r="J45" s="21">
        <f>COUNTIF(Na_hřbitově!AL:AL,"2/2")</f>
        <v>0</v>
      </c>
      <c r="K45">
        <v>0</v>
      </c>
      <c r="L45">
        <f>COUNTIF(Píseň_o_studni!U:U,"2/2")</f>
        <v>0</v>
      </c>
      <c r="M45">
        <f>COUNTIF(Spáči_mluví_ze_sna!U:U,"2/2")</f>
        <v>0</v>
      </c>
      <c r="N45" s="21">
        <f>COUNTIF(Kvetoucí_mohyla!AL:AL,"2/2")</f>
        <v>0</v>
      </c>
      <c r="O45" s="21">
        <f>COUNTIF(Slunovrat!AL:AL,"2/2")</f>
        <v>0</v>
      </c>
      <c r="P45">
        <v>0</v>
      </c>
      <c r="R45" s="13" t="s">
        <v>600</v>
      </c>
      <c r="S45">
        <f t="shared" si="3"/>
        <v>0</v>
      </c>
      <c r="T45" s="9">
        <f t="shared" si="4"/>
        <v>0</v>
      </c>
      <c r="V45" t="s">
        <v>601</v>
      </c>
      <c r="W45">
        <f>S49+S51+S53</f>
        <v>6</v>
      </c>
      <c r="X45" s="9">
        <f>W45/$W$48</f>
        <v>0.31578947368421051</v>
      </c>
    </row>
    <row r="46" spans="2:25">
      <c r="D46" s="13" t="s">
        <v>602</v>
      </c>
      <c r="E46">
        <v>0</v>
      </c>
      <c r="F46" s="21">
        <f>COUNTIF(Zavolej!AL:AL,"2/4")</f>
        <v>0</v>
      </c>
      <c r="G46">
        <v>0</v>
      </c>
      <c r="H46" s="21">
        <f>COUNTIF(Ženy_na_ohnici!AL:AL,"2/4")</f>
        <v>2</v>
      </c>
      <c r="I46">
        <v>0</v>
      </c>
      <c r="J46" s="21">
        <f>COUNTIF(Na_hřbitově!AL:AL,"2/4")</f>
        <v>1</v>
      </c>
      <c r="K46">
        <v>0</v>
      </c>
      <c r="L46">
        <v>0</v>
      </c>
      <c r="M46">
        <f>COUNTIF(Spáči_mluví_ze_sna!U:U,"2/4")</f>
        <v>0</v>
      </c>
      <c r="N46" s="21">
        <f>COUNTIF(Kvetoucí_mohyla!AL:AL,"2/4")</f>
        <v>0</v>
      </c>
      <c r="O46" s="21">
        <f>COUNTIF(Slunovrat!AL:AL,"2/4")</f>
        <v>0</v>
      </c>
      <c r="P46">
        <v>0</v>
      </c>
      <c r="R46" s="13" t="s">
        <v>602</v>
      </c>
      <c r="S46">
        <f t="shared" si="3"/>
        <v>3</v>
      </c>
      <c r="T46" s="9">
        <f t="shared" si="4"/>
        <v>0.15789473684210525</v>
      </c>
      <c r="V46" t="s">
        <v>603</v>
      </c>
      <c r="W46">
        <f>S44+S46+S47+S48</f>
        <v>4</v>
      </c>
      <c r="X46" s="9">
        <f>W46/$W$48</f>
        <v>0.21052631578947367</v>
      </c>
    </row>
    <row r="47" spans="2:25">
      <c r="D47" s="13" t="s">
        <v>604</v>
      </c>
      <c r="E47">
        <v>0</v>
      </c>
      <c r="F47" s="21">
        <f>COUNTIF(Zavolej!AL:AL,"2/5")</f>
        <v>0</v>
      </c>
      <c r="G47">
        <v>0</v>
      </c>
      <c r="H47" s="21">
        <f>COUNTIF(Ženy_na_ohnici!AL:AL,"2/5")</f>
        <v>0</v>
      </c>
      <c r="I47">
        <v>0</v>
      </c>
      <c r="J47" s="21">
        <f>COUNTIF(Na_hřbitově!AL:AL,"2/5")</f>
        <v>0</v>
      </c>
      <c r="K47">
        <v>0</v>
      </c>
      <c r="L47">
        <f>COUNTIF(Píseň_o_studni!U:U,"2/5")</f>
        <v>0</v>
      </c>
      <c r="M47">
        <f>COUNTIF(Spáči_mluví_ze_sna!U:U,"2/5")</f>
        <v>0</v>
      </c>
      <c r="N47" s="21">
        <f>COUNTIF(Kvetoucí_mohyla!AL:AL,"2/5")</f>
        <v>0</v>
      </c>
      <c r="O47" s="21">
        <f>COUNTIF(Slunovrat!AL:AL,"2/5")</f>
        <v>0</v>
      </c>
      <c r="P47">
        <v>0</v>
      </c>
      <c r="R47" s="13" t="s">
        <v>604</v>
      </c>
      <c r="S47">
        <f t="shared" si="3"/>
        <v>0</v>
      </c>
      <c r="T47" s="9">
        <f t="shared" si="4"/>
        <v>0</v>
      </c>
    </row>
    <row r="48" spans="2:25">
      <c r="D48" s="13" t="s">
        <v>605</v>
      </c>
      <c r="E48">
        <v>0</v>
      </c>
      <c r="F48" s="21">
        <f>COUNTIF(Zavolej!AL:AL,"2/6")</f>
        <v>0</v>
      </c>
      <c r="G48">
        <v>0</v>
      </c>
      <c r="H48" s="21">
        <f>COUNTIF(Ženy_na_ohnici!AL:AL,"2/6")</f>
        <v>0</v>
      </c>
      <c r="I48">
        <v>0</v>
      </c>
      <c r="J48" s="21">
        <f>COUNTIF(Na_hřbitově!AL:AL,"2/6")</f>
        <v>0</v>
      </c>
      <c r="K48">
        <v>0</v>
      </c>
      <c r="L48">
        <f>COUNTIF(Píseň_o_studni!U:U,"2/6")</f>
        <v>0</v>
      </c>
      <c r="M48">
        <f>COUNTIF(Spáči_mluví_ze_sna!U:U,"2/6")</f>
        <v>0</v>
      </c>
      <c r="N48" s="21">
        <f>COUNTIF(Kvetoucí_mohyla!AL:AL,"2/6")</f>
        <v>0</v>
      </c>
      <c r="O48" s="21">
        <f>COUNTIF(Slunovrat!AL:AL,"2/6")</f>
        <v>0</v>
      </c>
      <c r="P48">
        <f>COUNTIF(Hromnice_hoří!U:U,"2/6")</f>
        <v>0</v>
      </c>
      <c r="R48" s="13" t="s">
        <v>605</v>
      </c>
      <c r="S48">
        <f t="shared" si="3"/>
        <v>0</v>
      </c>
      <c r="T48" s="9">
        <f t="shared" si="4"/>
        <v>0</v>
      </c>
      <c r="V48" t="s">
        <v>591</v>
      </c>
      <c r="W48">
        <f>SUM(W43:W46)</f>
        <v>19</v>
      </c>
    </row>
    <row r="49" spans="2:25">
      <c r="D49" s="13" t="s">
        <v>606</v>
      </c>
      <c r="E49">
        <v>0</v>
      </c>
      <c r="F49" s="21">
        <f>COUNTIF(Zavolej!AL:AL,"3/1")</f>
        <v>1</v>
      </c>
      <c r="G49">
        <v>0</v>
      </c>
      <c r="H49" s="21">
        <f>COUNTIF(Ženy_na_ohnici!AL:AL,"3/1")</f>
        <v>1</v>
      </c>
      <c r="I49">
        <v>0</v>
      </c>
      <c r="J49" s="21">
        <f>COUNTIF(Na_hřbitově!AL:AL,"3/1")</f>
        <v>0</v>
      </c>
      <c r="K49">
        <v>0</v>
      </c>
      <c r="L49">
        <f>COUNTIF(Píseň_o_studni!U:U,"3/1")</f>
        <v>0</v>
      </c>
      <c r="M49">
        <v>0</v>
      </c>
      <c r="N49" s="21">
        <f>COUNTIF(Kvetoucí_mohyla!AL:AL,"3/1")</f>
        <v>0</v>
      </c>
      <c r="O49" s="21">
        <f>COUNTIF(Slunovrat!AL:AL,"3/1")</f>
        <v>0</v>
      </c>
      <c r="P49">
        <f>COUNTIF(Hromnice_hoří!U:U,"3/1")</f>
        <v>0</v>
      </c>
      <c r="R49" s="13" t="s">
        <v>606</v>
      </c>
      <c r="S49">
        <f t="shared" si="3"/>
        <v>2</v>
      </c>
      <c r="T49" s="9">
        <f t="shared" si="4"/>
        <v>0.10526315789473684</v>
      </c>
    </row>
    <row r="50" spans="2:25">
      <c r="D50" s="13" t="s">
        <v>607</v>
      </c>
      <c r="E50">
        <v>0</v>
      </c>
      <c r="F50" s="21">
        <f>COUNTIF(Zavolej!AL:AL,"3/3")</f>
        <v>1</v>
      </c>
      <c r="G50">
        <v>0</v>
      </c>
      <c r="H50" s="21">
        <f>COUNTIF(Ženy_na_ohnici!AL:AL,"3/3")</f>
        <v>0</v>
      </c>
      <c r="I50">
        <f>COUNTIF(Větroplach!U:U,"3/3")</f>
        <v>0</v>
      </c>
      <c r="J50" s="21">
        <f>COUNTIF(Na_hřbitově!AL:AL,"3/3")</f>
        <v>0</v>
      </c>
      <c r="K50">
        <v>0</v>
      </c>
      <c r="L50">
        <v>0</v>
      </c>
      <c r="M50">
        <v>0</v>
      </c>
      <c r="N50" s="21">
        <f>COUNTIF(Kvetoucí_mohyla!AL:AL,"3/3")</f>
        <v>1</v>
      </c>
      <c r="O50" s="21">
        <f>COUNTIF(Slunovrat!AL:AL,"3/3")</f>
        <v>0</v>
      </c>
      <c r="P50">
        <v>0</v>
      </c>
      <c r="R50" s="13" t="s">
        <v>607</v>
      </c>
      <c r="S50">
        <f t="shared" si="3"/>
        <v>2</v>
      </c>
      <c r="T50" s="9">
        <f t="shared" si="4"/>
        <v>0.10526315789473684</v>
      </c>
    </row>
    <row r="51" spans="2:25">
      <c r="D51" s="13" t="s">
        <v>608</v>
      </c>
      <c r="E51">
        <v>0</v>
      </c>
      <c r="F51" s="21">
        <f>COUNTIF(Zavolej!AL:AL,"4/2")</f>
        <v>3</v>
      </c>
      <c r="G51">
        <f>COUNTIF(Ještě_jaro!U:U,"4/2")</f>
        <v>0</v>
      </c>
      <c r="H51" s="21">
        <f>COUNTIF(Ženy_na_ohnici!AL:AL,"4/2")</f>
        <v>0</v>
      </c>
      <c r="I51">
        <f>COUNTIF(Větroplach!U:U,"4/2")</f>
        <v>0</v>
      </c>
      <c r="J51" s="21">
        <f>COUNTIF(Na_hřbitově!AL:AL,"4/2")</f>
        <v>0</v>
      </c>
      <c r="K51">
        <v>0</v>
      </c>
      <c r="L51">
        <v>0</v>
      </c>
      <c r="M51">
        <f>COUNTIF(Spáči_mluví_ze_sna!U:U,"4/2")</f>
        <v>0</v>
      </c>
      <c r="N51" s="21">
        <f>COUNTIF(Kvetoucí_mohyla!AL:AL,"4/2")</f>
        <v>0</v>
      </c>
      <c r="O51" s="21">
        <f>COUNTIF(Slunovrat!AL:AL,"4/2")</f>
        <v>1</v>
      </c>
      <c r="P51">
        <v>0</v>
      </c>
      <c r="R51" s="13" t="s">
        <v>608</v>
      </c>
      <c r="S51">
        <f t="shared" si="3"/>
        <v>4</v>
      </c>
      <c r="T51" s="9">
        <f t="shared" si="4"/>
        <v>0.21052631578947367</v>
      </c>
    </row>
    <row r="52" spans="2:25">
      <c r="D52" s="13" t="s">
        <v>599</v>
      </c>
      <c r="E52">
        <v>0</v>
      </c>
      <c r="F52" s="21">
        <f>COUNTIF(Zavolej!AL:AL,"4/4")</f>
        <v>0</v>
      </c>
      <c r="G52">
        <f>COUNTIF(Ještě_jaro!U:U,"4/4")</f>
        <v>0</v>
      </c>
      <c r="H52" s="21">
        <f>COUNTIF(Ženy_na_ohnici!AL:AL,"4/4")</f>
        <v>0</v>
      </c>
      <c r="I52">
        <f>COUNTIF(Větroplach!U:U,"4/4")</f>
        <v>0</v>
      </c>
      <c r="J52" s="21">
        <f>COUNTIF(Na_hřbitově!AL:AL,"4/4")</f>
        <v>0</v>
      </c>
      <c r="K52">
        <v>0</v>
      </c>
      <c r="L52">
        <v>0</v>
      </c>
      <c r="M52">
        <f>COUNTIF(Spáči_mluví_ze_sna!U:U,"4/4")</f>
        <v>0</v>
      </c>
      <c r="N52" s="21">
        <f>COUNTIF(Kvetoucí_mohyla!AL:AL,"4/4")</f>
        <v>0</v>
      </c>
      <c r="O52" s="21">
        <f>COUNTIF(Slunovrat!AL:AL,"4/4")</f>
        <v>1</v>
      </c>
      <c r="P52">
        <f>COUNTIF(Hromnice_hoří!U:U,"4/4")</f>
        <v>0</v>
      </c>
      <c r="R52" s="13" t="s">
        <v>599</v>
      </c>
      <c r="S52">
        <f t="shared" si="3"/>
        <v>1</v>
      </c>
      <c r="T52" s="9">
        <f t="shared" si="4"/>
        <v>5.2631578947368418E-2</v>
      </c>
    </row>
    <row r="53" spans="2:25">
      <c r="D53" s="13" t="s">
        <v>609</v>
      </c>
      <c r="E53">
        <v>0</v>
      </c>
      <c r="F53" s="21">
        <f>COUNTIF(Zavolej!AL:AL,"6/4")</f>
        <v>0</v>
      </c>
      <c r="G53">
        <f>COUNTIF(Ještě_jaro!U:U,"6/4")</f>
        <v>0</v>
      </c>
      <c r="H53" s="21">
        <f>COUNTIF(Ženy_na_ohnici!AL:AL,"6/4")</f>
        <v>0</v>
      </c>
      <c r="I53">
        <f>COUNTIF(Větroplach!U:U,"6/4")</f>
        <v>0</v>
      </c>
      <c r="J53" s="21">
        <f>COUNTIF(Na_hřbitově!AL:AL,"6/4")</f>
        <v>0</v>
      </c>
      <c r="K53">
        <f>COUNTIF(Rekonvalescent!U:U,"6/4")</f>
        <v>0</v>
      </c>
      <c r="L53">
        <f>COUNTIF(Píseň_o_studni!U:U,"6/4")</f>
        <v>0</v>
      </c>
      <c r="M53">
        <f>COUNTIF(Spáči_mluví_ze_sna!U:U,"6/4")</f>
        <v>0</v>
      </c>
      <c r="N53" s="21">
        <f>COUNTIF(Kvetoucí_mohyla!AL:AL,"6/4")</f>
        <v>0</v>
      </c>
      <c r="O53" s="21">
        <f>COUNTIF(Slunovrat!AL:AL,"6/4")</f>
        <v>0</v>
      </c>
      <c r="P53">
        <f>COUNTIF(Hromnice_hoří!U:U,"6/4")</f>
        <v>0</v>
      </c>
      <c r="R53" s="13" t="s">
        <v>609</v>
      </c>
      <c r="S53">
        <f t="shared" si="3"/>
        <v>0</v>
      </c>
      <c r="T53" s="9">
        <f t="shared" si="4"/>
        <v>0</v>
      </c>
    </row>
    <row r="55" spans="2:25">
      <c r="R55" t="s">
        <v>591</v>
      </c>
      <c r="S55">
        <f>SUM(S43:S53)</f>
        <v>19</v>
      </c>
    </row>
    <row r="56" spans="2:25">
      <c r="B56" s="15"/>
      <c r="C56" s="15"/>
      <c r="D56" s="15"/>
      <c r="E56" s="15"/>
      <c r="F56" s="22"/>
      <c r="G56" s="15"/>
      <c r="H56" s="22"/>
      <c r="I56" s="15"/>
      <c r="J56" s="22"/>
      <c r="K56" s="15"/>
      <c r="L56" s="15"/>
      <c r="M56" s="15"/>
      <c r="N56" s="22"/>
      <c r="O56" s="22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8" spans="2:25" ht="14.45" customHeight="1">
      <c r="B58" s="56" t="s">
        <v>610</v>
      </c>
      <c r="E58" t="s">
        <v>7</v>
      </c>
      <c r="F58" s="21" t="s">
        <v>104</v>
      </c>
      <c r="G58" t="s">
        <v>138</v>
      </c>
      <c r="H58" s="21" t="s">
        <v>169</v>
      </c>
      <c r="I58" t="s">
        <v>216</v>
      </c>
      <c r="J58" s="21" t="s">
        <v>244</v>
      </c>
      <c r="K58" t="s">
        <v>292</v>
      </c>
      <c r="L58" t="s">
        <v>320</v>
      </c>
      <c r="M58" t="s">
        <v>346</v>
      </c>
      <c r="N58" s="21" t="s">
        <v>372</v>
      </c>
      <c r="O58" s="21" t="s">
        <v>421</v>
      </c>
      <c r="P58" t="s">
        <v>464</v>
      </c>
      <c r="S58" s="8" t="s">
        <v>590</v>
      </c>
      <c r="T58" s="8" t="s">
        <v>538</v>
      </c>
    </row>
    <row r="59" spans="2:25">
      <c r="B59" s="57"/>
      <c r="D59" s="13" t="s">
        <v>611</v>
      </c>
      <c r="E59">
        <v>0</v>
      </c>
      <c r="F59" s="21">
        <f>COUNTIF(Zavolej!AM:AN,"N")</f>
        <v>2</v>
      </c>
      <c r="G59">
        <v>0</v>
      </c>
      <c r="H59" s="21">
        <f>COUNTIF(Ženy_na_ohnici!AM:AN,"N")</f>
        <v>3</v>
      </c>
      <c r="I59">
        <v>0</v>
      </c>
      <c r="J59" s="21">
        <f>COUNTIF(Na_hřbitově!AM:AN,"N")</f>
        <v>6</v>
      </c>
      <c r="K59">
        <v>0</v>
      </c>
      <c r="L59">
        <v>0</v>
      </c>
      <c r="M59">
        <v>0</v>
      </c>
      <c r="N59" s="21">
        <f>COUNTIF(Kvetoucí_mohyla!AM:AN,"N")</f>
        <v>11</v>
      </c>
      <c r="O59" s="21">
        <f>COUNTIF(Slunovrat!AM:AN,"N")</f>
        <v>3</v>
      </c>
      <c r="P59">
        <v>0</v>
      </c>
      <c r="R59" s="13" t="s">
        <v>611</v>
      </c>
      <c r="S59">
        <f t="shared" ref="S59:S68" si="5">SUM(E59:P59)</f>
        <v>25</v>
      </c>
      <c r="T59" s="9">
        <f t="shared" ref="T59:T68" si="6">S59/$S$70</f>
        <v>0.65789473684210531</v>
      </c>
    </row>
    <row r="60" spans="2:25">
      <c r="B60" s="58"/>
      <c r="D60" s="13" t="s">
        <v>612</v>
      </c>
      <c r="E60">
        <v>0</v>
      </c>
      <c r="F60" s="21">
        <f>COUNTIF(Zavolej!AM:AN,"Adj")</f>
        <v>2</v>
      </c>
      <c r="G60">
        <v>0</v>
      </c>
      <c r="H60" s="21">
        <f>COUNTIF(Ženy_na_ohnici!AM:AN,"Adj")</f>
        <v>2</v>
      </c>
      <c r="I60">
        <v>0</v>
      </c>
      <c r="J60" s="21">
        <f>COUNTIF(Na_hřbitově!AM:AN,"Adj")</f>
        <v>0</v>
      </c>
      <c r="K60">
        <v>0</v>
      </c>
      <c r="L60">
        <v>0</v>
      </c>
      <c r="M60">
        <v>0</v>
      </c>
      <c r="N60" s="21">
        <f>COUNTIF(Kvetoucí_mohyla!AM:AN,"Adj")</f>
        <v>0</v>
      </c>
      <c r="O60" s="21">
        <f>COUNTIF(Slunovrat!AM:AN,"Adj")</f>
        <v>1</v>
      </c>
      <c r="P60">
        <v>0</v>
      </c>
      <c r="R60" s="13" t="s">
        <v>612</v>
      </c>
      <c r="S60">
        <f t="shared" si="5"/>
        <v>5</v>
      </c>
      <c r="T60" s="9">
        <f t="shared" si="6"/>
        <v>0.13157894736842105</v>
      </c>
    </row>
    <row r="61" spans="2:25">
      <c r="D61" s="13" t="s">
        <v>613</v>
      </c>
      <c r="E61">
        <v>0</v>
      </c>
      <c r="F61" s="21">
        <f>COUNTIF(Zavolej!AM:AN,"Pron")</f>
        <v>0</v>
      </c>
      <c r="G61">
        <v>0</v>
      </c>
      <c r="H61" s="21">
        <f>COUNTIF(Ženy_na_ohnici!AM:AN,"Pron")</f>
        <v>0</v>
      </c>
      <c r="I61">
        <f>COUNTIF(Větroplach!V:W,"Pron")</f>
        <v>0</v>
      </c>
      <c r="J61" s="21">
        <f>COUNTIF(Na_hřbitově!AM:AN,"Pron")</f>
        <v>0</v>
      </c>
      <c r="K61">
        <f>COUNTIF(Rekonvalescent!V:W,"Pron")</f>
        <v>0</v>
      </c>
      <c r="L61">
        <f>COUNTIF(Píseň_o_studni!V:W,"Pron")</f>
        <v>0</v>
      </c>
      <c r="M61">
        <v>0</v>
      </c>
      <c r="N61" s="21">
        <f>COUNTIF(Kvetoucí_mohyla!AM:AN,"Pron")</f>
        <v>1</v>
      </c>
      <c r="O61" s="21">
        <f>COUNTIF(Slunovrat!AM:AN,"Pron")</f>
        <v>0</v>
      </c>
      <c r="P61">
        <f>COUNTIF(Hromnice_hoří!V:W,"Pron")</f>
        <v>0</v>
      </c>
      <c r="R61" s="13" t="s">
        <v>613</v>
      </c>
      <c r="S61">
        <f t="shared" si="5"/>
        <v>1</v>
      </c>
      <c r="T61" s="9">
        <f t="shared" si="6"/>
        <v>2.6315789473684209E-2</v>
      </c>
    </row>
    <row r="62" spans="2:25">
      <c r="D62" s="13" t="s">
        <v>614</v>
      </c>
      <c r="E62">
        <f>COUNTIF(Hory!V:W,"Num")</f>
        <v>0</v>
      </c>
      <c r="F62" s="21">
        <f>COUNTIF(Zavolej!AM:AN,"Num")</f>
        <v>0</v>
      </c>
      <c r="G62">
        <f>COUNTIF(Ještě_jaro!V:W,"Num")</f>
        <v>0</v>
      </c>
      <c r="H62" s="21">
        <f>COUNTIF(Ženy_na_ohnici!AM:AN,"Num")</f>
        <v>0</v>
      </c>
      <c r="I62">
        <f>COUNTIF(Větroplach!V:W,"Num")</f>
        <v>0</v>
      </c>
      <c r="J62" s="21">
        <f>COUNTIF(Na_hřbitově!AM:AN,"Num")</f>
        <v>0</v>
      </c>
      <c r="K62">
        <f>COUNTIF(Rekonvalescent!V:W,"Num")</f>
        <v>0</v>
      </c>
      <c r="L62">
        <f>COUNTIF(Píseň_o_studni!V:W,"Num")</f>
        <v>0</v>
      </c>
      <c r="M62">
        <f>COUNTIF(Spáči_mluví_ze_sna!V:W,"Num")</f>
        <v>0</v>
      </c>
      <c r="N62" s="21">
        <f>COUNTIF(Kvetoucí_mohyla!AM:AN,"Num")</f>
        <v>0</v>
      </c>
      <c r="O62" s="21">
        <f>COUNTIF(Slunovrat!AM:AN,"Num")</f>
        <v>0</v>
      </c>
      <c r="P62">
        <f>COUNTIF(Hromnice_hoří!V:W,"Num")</f>
        <v>0</v>
      </c>
      <c r="R62" s="13" t="s">
        <v>614</v>
      </c>
      <c r="S62">
        <f t="shared" si="5"/>
        <v>0</v>
      </c>
      <c r="T62" s="14">
        <f t="shared" si="6"/>
        <v>0</v>
      </c>
    </row>
    <row r="63" spans="2:25">
      <c r="D63" s="13" t="s">
        <v>615</v>
      </c>
      <c r="E63">
        <v>0</v>
      </c>
      <c r="F63" s="21">
        <f>COUNTIF(Zavolej!AM:AN,"V")</f>
        <v>6</v>
      </c>
      <c r="G63">
        <v>0</v>
      </c>
      <c r="H63" s="21">
        <f>COUNTIF(Ženy_na_ohnici!AM:AN,"V")</f>
        <v>1</v>
      </c>
      <c r="I63">
        <v>0</v>
      </c>
      <c r="J63" s="21">
        <f>COUNTIF(Na_hřbitově!AM:AN,"V")</f>
        <v>0</v>
      </c>
      <c r="K63">
        <v>0</v>
      </c>
      <c r="L63">
        <v>0</v>
      </c>
      <c r="M63">
        <v>0</v>
      </c>
      <c r="N63" s="21">
        <f>COUNTIF(Kvetoucí_mohyla!AM:AN,"V")</f>
        <v>0</v>
      </c>
      <c r="O63" s="21">
        <f>COUNTIF(Slunovrat!AM:AN,"V")</f>
        <v>0</v>
      </c>
      <c r="P63">
        <v>0</v>
      </c>
      <c r="R63" s="13" t="s">
        <v>615</v>
      </c>
      <c r="S63">
        <f t="shared" si="5"/>
        <v>7</v>
      </c>
      <c r="T63" s="9">
        <f t="shared" si="6"/>
        <v>0.18421052631578946</v>
      </c>
    </row>
    <row r="64" spans="2:25">
      <c r="D64" s="13" t="s">
        <v>616</v>
      </c>
      <c r="E64">
        <v>0</v>
      </c>
      <c r="F64" s="21">
        <f>COUNTIF(Zavolej!AM:AN,"Adv")</f>
        <v>0</v>
      </c>
      <c r="G64">
        <f>COUNTIF(Ještě_jaro!V:W,"Adv")</f>
        <v>0</v>
      </c>
      <c r="H64" s="21">
        <f>COUNTIF(Ženy_na_ohnici!AM:AN,"Adv")</f>
        <v>0</v>
      </c>
      <c r="I64">
        <v>0</v>
      </c>
      <c r="J64" s="21">
        <f>COUNTIF(Na_hřbitově!AM:AN,"Adv")</f>
        <v>0</v>
      </c>
      <c r="K64">
        <v>0</v>
      </c>
      <c r="L64">
        <v>0</v>
      </c>
      <c r="M64">
        <f>COUNTIF(Spáči_mluví_ze_sna!V:W,"Adv")</f>
        <v>0</v>
      </c>
      <c r="N64" s="21">
        <f>COUNTIF(Kvetoucí_mohyla!AM:AN,"Adv")</f>
        <v>0</v>
      </c>
      <c r="O64" s="21">
        <f>COUNTIF(Slunovrat!AM:AN,"Adv")</f>
        <v>0</v>
      </c>
      <c r="P64">
        <v>0</v>
      </c>
      <c r="R64" s="13" t="s">
        <v>616</v>
      </c>
      <c r="S64">
        <f t="shared" si="5"/>
        <v>0</v>
      </c>
      <c r="T64" s="9">
        <f t="shared" si="6"/>
        <v>0</v>
      </c>
    </row>
    <row r="65" spans="2:25">
      <c r="D65" s="13" t="s">
        <v>617</v>
      </c>
      <c r="E65">
        <f>COUNTIF(Hory!V:W,"Prep")</f>
        <v>0</v>
      </c>
      <c r="F65" s="21">
        <f>COUNTIF(Zavolej!AM:AN,"Prep")</f>
        <v>0</v>
      </c>
      <c r="G65">
        <f>COUNTIF(Ještě_jaro!V:W,"Prep")</f>
        <v>0</v>
      </c>
      <c r="H65" s="21">
        <f>COUNTIF(Ženy_na_ohnici!AM:AN,"Prep")</f>
        <v>0</v>
      </c>
      <c r="I65">
        <f>COUNTIF(Větroplach!V:W,"Prep")</f>
        <v>0</v>
      </c>
      <c r="J65" s="21">
        <f>COUNTIF(Na_hřbitově!AM:AN,"Prep")</f>
        <v>0</v>
      </c>
      <c r="K65">
        <f>COUNTIF(Rekonvalescent!V:W,"Prep")</f>
        <v>0</v>
      </c>
      <c r="L65">
        <f>COUNTIF(Píseň_o_studni!V:W,"Prep")</f>
        <v>0</v>
      </c>
      <c r="M65">
        <f>COUNTIF(Spáči_mluví_ze_sna!V:W,"Prep")</f>
        <v>0</v>
      </c>
      <c r="N65" s="21">
        <f>COUNTIF(Kvetoucí_mohyla!AM:AN,"Prep")</f>
        <v>0</v>
      </c>
      <c r="O65" s="21">
        <f>COUNTIF(Slunovrat!AM:AN,"Prep")</f>
        <v>0</v>
      </c>
      <c r="P65">
        <f>COUNTIF(Hromnice_hoří!V:W,"Prep")</f>
        <v>0</v>
      </c>
      <c r="R65" s="13" t="s">
        <v>617</v>
      </c>
      <c r="S65">
        <f t="shared" si="5"/>
        <v>0</v>
      </c>
      <c r="T65" s="14">
        <f t="shared" si="6"/>
        <v>0</v>
      </c>
    </row>
    <row r="66" spans="2:25">
      <c r="D66" s="13" t="s">
        <v>618</v>
      </c>
      <c r="E66">
        <f>COUNTIF(Hory!V:W,"Kon")</f>
        <v>0</v>
      </c>
      <c r="F66" s="21">
        <f>COUNTIF(Zavolej!AM:AN,"Kon")</f>
        <v>0</v>
      </c>
      <c r="G66">
        <f>COUNTIF(Ještě_jaro!V:W,"Kon")</f>
        <v>0</v>
      </c>
      <c r="H66" s="21">
        <f>COUNTIF(Ženy_na_ohnici!AM:AN,"Kon")</f>
        <v>0</v>
      </c>
      <c r="I66">
        <f>COUNTIF(Větroplach!V:W,"Kon")</f>
        <v>0</v>
      </c>
      <c r="J66" s="21">
        <f>COUNTIF(Na_hřbitově!AM:AN,"Kon")</f>
        <v>0</v>
      </c>
      <c r="K66">
        <f>COUNTIF(Rekonvalescent!V:W,"Kon")</f>
        <v>0</v>
      </c>
      <c r="L66">
        <f>COUNTIF(Píseň_o_studni!V:W,"Kon")</f>
        <v>0</v>
      </c>
      <c r="M66">
        <f>COUNTIF(Spáči_mluví_ze_sna!V:W,"Kon")</f>
        <v>0</v>
      </c>
      <c r="N66" s="21">
        <f>COUNTIF(Kvetoucí_mohyla!AM:AN,"Kon")</f>
        <v>0</v>
      </c>
      <c r="O66" s="21">
        <f>COUNTIF(Slunovrat!AM:AN,"Kon")</f>
        <v>0</v>
      </c>
      <c r="P66">
        <f>COUNTIF(Hromnice_hoří!V:W,"Kon")</f>
        <v>0</v>
      </c>
      <c r="R66" s="13" t="s">
        <v>618</v>
      </c>
      <c r="S66">
        <f t="shared" si="5"/>
        <v>0</v>
      </c>
      <c r="T66" s="14">
        <f t="shared" si="6"/>
        <v>0</v>
      </c>
    </row>
    <row r="67" spans="2:25">
      <c r="D67" s="13" t="s">
        <v>619</v>
      </c>
      <c r="E67">
        <f>COUNTIF(Hory!V:W,"Par")</f>
        <v>0</v>
      </c>
      <c r="F67" s="21">
        <f>COUNTIF(Zavolej!AM:AN,"Par")</f>
        <v>0</v>
      </c>
      <c r="G67">
        <f>COUNTIF(Ještě_jaro!V:W,"Par")</f>
        <v>0</v>
      </c>
      <c r="H67" s="21">
        <f>COUNTIF(Ženy_na_ohnici!AM:AN,"Par")</f>
        <v>0</v>
      </c>
      <c r="I67">
        <f>COUNTIF(Větroplach!V:W,"Par")</f>
        <v>0</v>
      </c>
      <c r="J67" s="21">
        <f>COUNTIF(Na_hřbitově!AM:AN,"Par")</f>
        <v>0</v>
      </c>
      <c r="K67">
        <f>COUNTIF(Rekonvalescent!V:W,"Par")</f>
        <v>0</v>
      </c>
      <c r="L67">
        <f>COUNTIF(Píseň_o_studni!V:W,"Par")</f>
        <v>0</v>
      </c>
      <c r="M67">
        <f>COUNTIF(Spáči_mluví_ze_sna!V:W,"Par")</f>
        <v>0</v>
      </c>
      <c r="N67" s="21">
        <f>COUNTIF(Kvetoucí_mohyla!AM:AN,"Par")</f>
        <v>0</v>
      </c>
      <c r="O67" s="21">
        <f>COUNTIF(Slunovrat!AM:AN,"Par")</f>
        <v>0</v>
      </c>
      <c r="P67">
        <f>COUNTIF(Hromnice_hoří!V:W,"Par")</f>
        <v>0</v>
      </c>
      <c r="R67" s="13" t="s">
        <v>619</v>
      </c>
      <c r="S67">
        <f t="shared" si="5"/>
        <v>0</v>
      </c>
      <c r="T67" s="14">
        <f t="shared" si="6"/>
        <v>0</v>
      </c>
    </row>
    <row r="68" spans="2:25">
      <c r="D68" s="13" t="s">
        <v>620</v>
      </c>
      <c r="E68">
        <f>COUNTIF(Hory!V:W,"Int")</f>
        <v>0</v>
      </c>
      <c r="F68" s="21">
        <f>COUNTIF(Zavolej!AM:AN,"Int")</f>
        <v>0</v>
      </c>
      <c r="G68">
        <f>COUNTIF(Ještě_jaro!V:W,"Int")</f>
        <v>0</v>
      </c>
      <c r="H68" s="21">
        <f>COUNTIF(Ženy_na_ohnici!AM:AN,"Int")</f>
        <v>0</v>
      </c>
      <c r="I68">
        <f>COUNTIF(Větroplach!V:W,"Int")</f>
        <v>0</v>
      </c>
      <c r="J68" s="21">
        <f>COUNTIF(Na_hřbitově!AM:AN,"Int")</f>
        <v>0</v>
      </c>
      <c r="K68">
        <f>COUNTIF(Rekonvalescent!V:W,"Int")</f>
        <v>0</v>
      </c>
      <c r="L68">
        <f>COUNTIF(Píseň_o_studni!V:W,"Int")</f>
        <v>0</v>
      </c>
      <c r="M68">
        <f>COUNTIF(Spáči_mluví_ze_sna!V:W,"Int")</f>
        <v>0</v>
      </c>
      <c r="N68" s="21">
        <f>COUNTIF(Kvetoucí_mohyla!AM:AN,"Int")</f>
        <v>0</v>
      </c>
      <c r="O68" s="21">
        <f>COUNTIF(Slunovrat!AM:AN,"Int")</f>
        <v>0</v>
      </c>
      <c r="P68">
        <f>COUNTIF(Hromnice_hoří!V:W,"Int")</f>
        <v>0</v>
      </c>
      <c r="R68" s="13" t="s">
        <v>620</v>
      </c>
      <c r="S68">
        <f t="shared" si="5"/>
        <v>0</v>
      </c>
      <c r="T68" s="14">
        <f t="shared" si="6"/>
        <v>0</v>
      </c>
    </row>
    <row r="69" spans="2:25">
      <c r="D69" s="13"/>
    </row>
    <row r="70" spans="2:25">
      <c r="R70" t="s">
        <v>591</v>
      </c>
      <c r="S70">
        <f>SUM(S59:S68)</f>
        <v>38</v>
      </c>
    </row>
    <row r="71" spans="2:25">
      <c r="B71" s="15"/>
      <c r="C71" s="15"/>
      <c r="D71" s="15"/>
      <c r="E71" s="15"/>
      <c r="F71" s="22"/>
      <c r="G71" s="15"/>
      <c r="H71" s="22"/>
      <c r="I71" s="15"/>
      <c r="J71" s="22"/>
      <c r="K71" s="15"/>
      <c r="L71" s="15"/>
      <c r="M71" s="15"/>
      <c r="N71" s="22"/>
      <c r="O71" s="22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3" spans="2:25" ht="14.45" customHeight="1">
      <c r="B73" s="56" t="s">
        <v>28</v>
      </c>
      <c r="E73" t="s">
        <v>7</v>
      </c>
      <c r="F73" s="21" t="s">
        <v>104</v>
      </c>
      <c r="G73" t="s">
        <v>138</v>
      </c>
      <c r="H73" s="21" t="s">
        <v>169</v>
      </c>
      <c r="I73" t="s">
        <v>216</v>
      </c>
      <c r="J73" s="21" t="s">
        <v>244</v>
      </c>
      <c r="K73" t="s">
        <v>292</v>
      </c>
      <c r="L73" t="s">
        <v>320</v>
      </c>
      <c r="M73" t="s">
        <v>346</v>
      </c>
      <c r="N73" s="21" t="s">
        <v>372</v>
      </c>
      <c r="O73" s="21" t="s">
        <v>421</v>
      </c>
      <c r="P73" t="s">
        <v>464</v>
      </c>
      <c r="S73" s="8" t="s">
        <v>590</v>
      </c>
      <c r="T73" s="8" t="s">
        <v>538</v>
      </c>
      <c r="W73" s="8" t="s">
        <v>590</v>
      </c>
      <c r="X73" s="8" t="s">
        <v>538</v>
      </c>
    </row>
    <row r="74" spans="2:25">
      <c r="B74" s="57"/>
      <c r="D74" t="s">
        <v>621</v>
      </c>
      <c r="E74">
        <v>0</v>
      </c>
      <c r="F74" s="21">
        <f>COUNTIF(Zavolej!AO:AO,"N+N")</f>
        <v>0</v>
      </c>
      <c r="G74">
        <v>0</v>
      </c>
      <c r="H74" s="21">
        <f>COUNTIF(Ženy_na_ohnici!AO:AO,"N+N")</f>
        <v>0</v>
      </c>
      <c r="I74">
        <v>0</v>
      </c>
      <c r="J74" s="21">
        <f>COUNTIF(Na_hřbitově!AO:AO,"N+N")</f>
        <v>3</v>
      </c>
      <c r="K74">
        <v>0</v>
      </c>
      <c r="L74">
        <v>0</v>
      </c>
      <c r="M74">
        <v>0</v>
      </c>
      <c r="N74" s="21">
        <f>COUNTIF(Kvetoucí_mohyla!AO:AO,"N+N")</f>
        <v>5</v>
      </c>
      <c r="O74" s="21">
        <f>COUNTIF(Slunovrat!AO:AO,"N+N")</f>
        <v>1</v>
      </c>
      <c r="P74">
        <v>0</v>
      </c>
      <c r="R74" t="s">
        <v>621</v>
      </c>
      <c r="S74">
        <f>SUM(E74:P74)</f>
        <v>9</v>
      </c>
      <c r="T74" s="9">
        <f>S74/$S$104</f>
        <v>0.47368421052631576</v>
      </c>
      <c r="V74" t="s">
        <v>621</v>
      </c>
      <c r="W74">
        <f>S74</f>
        <v>9</v>
      </c>
      <c r="X74" s="9">
        <f>W74/$W$94</f>
        <v>0.47368421052631576</v>
      </c>
    </row>
    <row r="75" spans="2:25">
      <c r="B75" s="58"/>
      <c r="D75" t="s">
        <v>622</v>
      </c>
      <c r="E75">
        <v>0</v>
      </c>
      <c r="F75" s="21">
        <f>COUNTIF(Zavolej!AO:AO,"N+Adj")</f>
        <v>0</v>
      </c>
      <c r="G75">
        <f>COUNTIF(Ještě_jaro!X:X,"N+Adj")</f>
        <v>0</v>
      </c>
      <c r="H75" s="21">
        <f>COUNTIF(Ženy_na_ohnici!AO:AO,"N+Adj")</f>
        <v>2</v>
      </c>
      <c r="I75">
        <f>COUNTIF(Větroplach!X:X,"N+Adj")</f>
        <v>0</v>
      </c>
      <c r="J75" s="21">
        <f>COUNTIF(Na_hřbitově!AO:AO,"N+Adj")</f>
        <v>0</v>
      </c>
      <c r="K75">
        <v>0</v>
      </c>
      <c r="L75">
        <f>COUNTIF(Píseň_o_studni!X:X,"N+Adj")</f>
        <v>0</v>
      </c>
      <c r="M75">
        <v>0</v>
      </c>
      <c r="N75" s="21">
        <f>COUNTIF(Kvetoucí_mohyla!AO:AO,"N+Adj")</f>
        <v>0</v>
      </c>
      <c r="O75" s="21">
        <f>COUNTIF(Slunovrat!AO:AO,"N+Adj")</f>
        <v>1</v>
      </c>
      <c r="P75">
        <v>0</v>
      </c>
      <c r="R75" t="s">
        <v>622</v>
      </c>
      <c r="S75">
        <f>SUM(E75:P75)</f>
        <v>3</v>
      </c>
      <c r="T75" s="9">
        <f>S75/$S$104</f>
        <v>0.15789473684210525</v>
      </c>
      <c r="V75" t="s">
        <v>623</v>
      </c>
      <c r="W75">
        <f>S75+S80</f>
        <v>3</v>
      </c>
      <c r="X75" s="9">
        <f>W75/$W$94</f>
        <v>0.15789473684210525</v>
      </c>
    </row>
    <row r="76" spans="2:25">
      <c r="D76" t="s">
        <v>624</v>
      </c>
      <c r="E76">
        <f>COUNTIF(Hory!X:X,"N+Pron")</f>
        <v>0</v>
      </c>
      <c r="F76" s="21">
        <f>COUNTIF(Zavolej!AO:AO,"N+Pron")</f>
        <v>0</v>
      </c>
      <c r="G76">
        <f>COUNTIF(Ještě_jaro!X:X,"N+Pron")</f>
        <v>0</v>
      </c>
      <c r="H76" s="21">
        <f>COUNTIF(Ženy_na_ohnici!AO:AO,"N+Pron")</f>
        <v>0</v>
      </c>
      <c r="I76">
        <f>COUNTIF(Větroplach!X:X,"N+Pron")</f>
        <v>0</v>
      </c>
      <c r="J76" s="21">
        <f>COUNTIF(Na_hřbitově!AO:AO,"N+Pron")</f>
        <v>0</v>
      </c>
      <c r="K76">
        <f>COUNTIF(Rekonvalescent!X:X,"N+Pron")</f>
        <v>0</v>
      </c>
      <c r="L76">
        <f>COUNTIF(Píseň_o_studni!X:X,"N+Pron")</f>
        <v>0</v>
      </c>
      <c r="M76">
        <v>0</v>
      </c>
      <c r="N76" s="21">
        <f>COUNTIF(Kvetoucí_mohyla!AO:AO,"N+Pron")</f>
        <v>0</v>
      </c>
      <c r="O76" s="21">
        <f>COUNTIF(Slunovrat!AO:AO,"N+Pron")</f>
        <v>0</v>
      </c>
      <c r="P76">
        <f>COUNTIF(Hromnice_hoří!X:X,"N+Pron")</f>
        <v>0</v>
      </c>
      <c r="R76" t="s">
        <v>624</v>
      </c>
      <c r="S76">
        <f>SUM(E76:P76)</f>
        <v>0</v>
      </c>
      <c r="T76" s="9">
        <f>S76/$S$104</f>
        <v>0</v>
      </c>
      <c r="V76" t="s">
        <v>625</v>
      </c>
      <c r="W76">
        <f>S76+S86</f>
        <v>1</v>
      </c>
      <c r="X76" s="9">
        <f>W76/$W$94</f>
        <v>5.2631578947368418E-2</v>
      </c>
    </row>
    <row r="77" spans="2:25">
      <c r="D77" t="s">
        <v>626</v>
      </c>
      <c r="E77">
        <v>0</v>
      </c>
      <c r="F77" s="21">
        <f>COUNTIF(Zavolej!AO:AO,"N+V")</f>
        <v>0</v>
      </c>
      <c r="G77">
        <f>COUNTIF(Ještě_jaro!X:X,"N+V")</f>
        <v>0</v>
      </c>
      <c r="H77" s="21">
        <f>COUNTIF(Ženy_na_ohnici!AO:AO,"N+V")</f>
        <v>0</v>
      </c>
      <c r="I77">
        <v>0</v>
      </c>
      <c r="J77" s="21">
        <f>COUNTIF(Na_hřbitově!AO:AO,"N+V")</f>
        <v>0</v>
      </c>
      <c r="K77">
        <f>COUNTIF(Rekonvalescent!X:X,"N+V")</f>
        <v>0</v>
      </c>
      <c r="L77">
        <v>0</v>
      </c>
      <c r="M77">
        <v>0</v>
      </c>
      <c r="N77" s="21">
        <f>COUNTIF(Kvetoucí_mohyla!AO:AO,"N+V")</f>
        <v>0</v>
      </c>
      <c r="O77" s="21">
        <f>COUNTIF(Slunovrat!AO:AO,"N+V")</f>
        <v>0</v>
      </c>
      <c r="P77">
        <v>0</v>
      </c>
      <c r="R77" t="s">
        <v>626</v>
      </c>
      <c r="S77">
        <f>SUM(E77:P77)</f>
        <v>0</v>
      </c>
      <c r="T77" s="9">
        <f>S77/$S$104</f>
        <v>0</v>
      </c>
      <c r="V77" t="s">
        <v>627</v>
      </c>
      <c r="W77">
        <f>S77+S92</f>
        <v>3</v>
      </c>
      <c r="X77" s="9">
        <f>W77/$W$94</f>
        <v>0.15789473684210525</v>
      </c>
    </row>
    <row r="78" spans="2:25">
      <c r="D78" t="s">
        <v>628</v>
      </c>
      <c r="E78">
        <v>0</v>
      </c>
      <c r="F78" s="21">
        <f>COUNTIF(Zavolej!AO:AO,"N+Adv")</f>
        <v>0</v>
      </c>
      <c r="G78">
        <f>COUNTIF(Ještě_jaro!X:X,"N+Adv")</f>
        <v>0</v>
      </c>
      <c r="H78" s="21">
        <f>COUNTIF(Ženy_na_ohnici!AO:AO,"N+Adv")</f>
        <v>0</v>
      </c>
      <c r="I78">
        <f>COUNTIF(Větroplach!X:X,"N+Adv")</f>
        <v>0</v>
      </c>
      <c r="J78" s="21">
        <f>COUNTIF(Na_hřbitově!AO:AO,"N+Adv")</f>
        <v>0</v>
      </c>
      <c r="K78">
        <f>COUNTIF(Rekonvalescent!X:X,"N+Adv")</f>
        <v>0</v>
      </c>
      <c r="L78">
        <v>0</v>
      </c>
      <c r="M78">
        <f>COUNTIF(Spáči_mluví_ze_sna!X:X,"N+Adv")</f>
        <v>0</v>
      </c>
      <c r="N78" s="21">
        <f>COUNTIF(Kvetoucí_mohyla!AO:AO,"N+Adv")</f>
        <v>0</v>
      </c>
      <c r="O78" s="21">
        <f>COUNTIF(Slunovrat!AO:AO,"N+Adv")</f>
        <v>0</v>
      </c>
      <c r="P78">
        <f>COUNTIF(Hromnice_hoří!X:X,"N+Adv")</f>
        <v>0</v>
      </c>
      <c r="R78" t="s">
        <v>628</v>
      </c>
      <c r="S78">
        <f>SUM(E78:P78)</f>
        <v>0</v>
      </c>
      <c r="T78" s="9">
        <f>S78/$S$104</f>
        <v>0</v>
      </c>
      <c r="V78" t="s">
        <v>629</v>
      </c>
      <c r="W78">
        <f>S78+S98</f>
        <v>0</v>
      </c>
      <c r="X78" s="9">
        <f>W78/$W$94</f>
        <v>0</v>
      </c>
    </row>
    <row r="79" spans="2:25">
      <c r="T79" s="9"/>
      <c r="X79" s="9"/>
    </row>
    <row r="80" spans="2:25">
      <c r="D80" t="s">
        <v>630</v>
      </c>
      <c r="E80">
        <v>0</v>
      </c>
      <c r="F80" s="21">
        <f>COUNTIF(Zavolej!AO:AO,"Adj+N")</f>
        <v>0</v>
      </c>
      <c r="G80">
        <v>0</v>
      </c>
      <c r="H80" s="21">
        <f>COUNTIF(Ženy_na_ohnici!AO:AO,"Adj+N")</f>
        <v>0</v>
      </c>
      <c r="I80">
        <f>COUNTIF(Větroplach!X:X,"Adj+N")</f>
        <v>0</v>
      </c>
      <c r="J80" s="21">
        <f>COUNTIF(Na_hřbitově!AO:AO,"Adj+N")</f>
        <v>0</v>
      </c>
      <c r="K80">
        <f>COUNTIF(Rekonvalescent!X:X,"Adj+N")</f>
        <v>0</v>
      </c>
      <c r="L80">
        <f>COUNTIF(Píseň_o_studni!X:X,"Adj+N")</f>
        <v>0</v>
      </c>
      <c r="M80">
        <v>0</v>
      </c>
      <c r="N80" s="21">
        <f>COUNTIF(Kvetoucí_mohyla!AO:AO,"Adj+N")</f>
        <v>0</v>
      </c>
      <c r="O80" s="21">
        <f>COUNTIF(Slunovrat!AO:AO,"Adj+N")</f>
        <v>0</v>
      </c>
      <c r="P80">
        <v>0</v>
      </c>
      <c r="R80" t="s">
        <v>630</v>
      </c>
      <c r="S80">
        <f>SUM(E80:P80)</f>
        <v>0</v>
      </c>
      <c r="T80" s="9">
        <f>S80/$S$104</f>
        <v>0</v>
      </c>
      <c r="V80" t="s">
        <v>631</v>
      </c>
      <c r="W80">
        <f>S81</f>
        <v>1</v>
      </c>
      <c r="X80" s="9">
        <f>W80/$W$94</f>
        <v>5.2631578947368418E-2</v>
      </c>
    </row>
    <row r="81" spans="4:24">
      <c r="D81" t="s">
        <v>631</v>
      </c>
      <c r="E81">
        <f>COUNTIF(Hory!X:X,"Adj+Adj")</f>
        <v>0</v>
      </c>
      <c r="F81" s="21">
        <f>COUNTIF(Zavolej!AO:AO,"Adj+Adj")</f>
        <v>1</v>
      </c>
      <c r="G81">
        <f>COUNTIF(Ještě_jaro!X:X,"Adj+Adj")</f>
        <v>0</v>
      </c>
      <c r="H81" s="21">
        <f>COUNTIF(Ženy_na_ohnici!AO:AO,"Adj+Adj")</f>
        <v>0</v>
      </c>
      <c r="I81">
        <v>0</v>
      </c>
      <c r="J81" s="21">
        <f>COUNTIF(Na_hřbitově!AO:AO,"Adj+Adj")</f>
        <v>0</v>
      </c>
      <c r="K81">
        <f>COUNTIF(Rekonvalescent!X:X,"Adj+Adj")</f>
        <v>0</v>
      </c>
      <c r="L81">
        <f>COUNTIF(Píseň_o_studni!X:X,"Adj+Adj")</f>
        <v>0</v>
      </c>
      <c r="M81">
        <f>COUNTIF(Spáči_mluví_ze_sna!X:X,"Adj+Adj")</f>
        <v>0</v>
      </c>
      <c r="N81" s="21">
        <f>COUNTIF(Kvetoucí_mohyla!AO:AO,"Adj+Adj")</f>
        <v>0</v>
      </c>
      <c r="O81" s="21">
        <f>COUNTIF(Slunovrat!AO:AO,"Adj+Adj")</f>
        <v>0</v>
      </c>
      <c r="P81">
        <v>0</v>
      </c>
      <c r="R81" t="s">
        <v>631</v>
      </c>
      <c r="S81">
        <f>SUM(E81:P81)</f>
        <v>1</v>
      </c>
      <c r="T81" s="9">
        <f>S81/$S$104</f>
        <v>5.2631578947368418E-2</v>
      </c>
      <c r="V81" t="s">
        <v>632</v>
      </c>
      <c r="W81">
        <f>S82+S87</f>
        <v>0</v>
      </c>
      <c r="X81" s="9">
        <f>W81/$W$94</f>
        <v>0</v>
      </c>
    </row>
    <row r="82" spans="4:24">
      <c r="D82" t="s">
        <v>633</v>
      </c>
      <c r="E82">
        <v>0</v>
      </c>
      <c r="F82" s="21">
        <f>COUNTIF(Zavolej!AO:AO,"Adj+Pron")</f>
        <v>0</v>
      </c>
      <c r="G82">
        <f>COUNTIF(Ještě_jaro!X:X,"Adj+Pron")</f>
        <v>0</v>
      </c>
      <c r="H82" s="21">
        <f>COUNTIF(Ženy_na_ohnici!AO:AO,"Adj+Pron")</f>
        <v>0</v>
      </c>
      <c r="I82">
        <f>COUNTIF(Větroplach!X:X,"Adj+Pron")</f>
        <v>0</v>
      </c>
      <c r="J82" s="21">
        <f>COUNTIF(Na_hřbitově!AO:AO,"Adj+Pron")</f>
        <v>0</v>
      </c>
      <c r="K82">
        <f>COUNTIF(Rekonvalescent!X:X,"Adj+Pron")</f>
        <v>0</v>
      </c>
      <c r="L82">
        <f>COUNTIF(Píseň_o_studni!X:X,"Adj+Pron")</f>
        <v>0</v>
      </c>
      <c r="M82">
        <f>COUNTIF(Spáči_mluví_ze_sna!X:X,"Adj+Pron")</f>
        <v>0</v>
      </c>
      <c r="N82" s="21">
        <f>COUNTIF(Kvetoucí_mohyla!AO:AO,"Adj+Pron")</f>
        <v>0</v>
      </c>
      <c r="O82" s="21">
        <f>COUNTIF(Slunovrat!AO:AO,"Adj+Pron")</f>
        <v>0</v>
      </c>
      <c r="P82">
        <f>COUNTIF(Hromnice_hoří!X:X,"Adj+Pron")</f>
        <v>0</v>
      </c>
      <c r="R82" t="s">
        <v>633</v>
      </c>
      <c r="S82">
        <f>SUM(E82:P82)</f>
        <v>0</v>
      </c>
      <c r="T82" s="9">
        <f>S82/$S$104</f>
        <v>0</v>
      </c>
      <c r="V82" t="s">
        <v>634</v>
      </c>
      <c r="W82">
        <f>S83+S93</f>
        <v>0</v>
      </c>
      <c r="X82" s="9">
        <f>W82/$W$94</f>
        <v>0</v>
      </c>
    </row>
    <row r="83" spans="4:24">
      <c r="D83" t="s">
        <v>635</v>
      </c>
      <c r="E83">
        <f>COUNTIF(Hory!X:X,"Adj+V")</f>
        <v>0</v>
      </c>
      <c r="F83" s="21">
        <f>COUNTIF(Zavolej!AO:AO,"Adj+V")</f>
        <v>0</v>
      </c>
      <c r="G83">
        <f>COUNTIF(Ještě_jaro!X:X,"Adj+V")</f>
        <v>0</v>
      </c>
      <c r="H83" s="21">
        <f>COUNTIF(Ženy_na_ohnici!AO:AO,"Adj+V")</f>
        <v>0</v>
      </c>
      <c r="I83">
        <f>COUNTIF(Větroplach!X:X,"Adj+V")</f>
        <v>0</v>
      </c>
      <c r="J83" s="21">
        <f>COUNTIF(Na_hřbitově!AO:AO,"Adj+V")</f>
        <v>0</v>
      </c>
      <c r="K83">
        <f>COUNTIF(Rekonvalescent!X:X,"Adj+V")</f>
        <v>0</v>
      </c>
      <c r="L83">
        <v>0</v>
      </c>
      <c r="M83">
        <f>COUNTIF(Spáči_mluví_ze_sna!X:X,"Adj+V")</f>
        <v>0</v>
      </c>
      <c r="N83" s="21">
        <f>COUNTIF(Kvetoucí_mohyla!AO:AO,"Adj+V")</f>
        <v>0</v>
      </c>
      <c r="O83" s="21">
        <f>COUNTIF(Slunovrat!AO:AO,"Adj+V")</f>
        <v>0</v>
      </c>
      <c r="P83">
        <v>0</v>
      </c>
      <c r="R83" t="s">
        <v>635</v>
      </c>
      <c r="S83">
        <f>SUM(E83:P83)</f>
        <v>0</v>
      </c>
      <c r="T83" s="9">
        <f>S83/$S$104</f>
        <v>0</v>
      </c>
      <c r="V83" t="s">
        <v>636</v>
      </c>
      <c r="W83">
        <f>S84+S99</f>
        <v>0</v>
      </c>
      <c r="X83" s="14">
        <f>W83/$W$94</f>
        <v>0</v>
      </c>
    </row>
    <row r="84" spans="4:24">
      <c r="D84" t="s">
        <v>637</v>
      </c>
      <c r="E84">
        <f>COUNTIF(Hory!X:X,"Adj+Adv")</f>
        <v>0</v>
      </c>
      <c r="F84" s="21">
        <f>COUNTIF(Zavolej!AO:AO,"Adj+Adv")</f>
        <v>0</v>
      </c>
      <c r="G84">
        <f>COUNTIF(Ještě_jaro!X:X,"Adj+Adv")</f>
        <v>0</v>
      </c>
      <c r="H84" s="21">
        <f>COUNTIF(Ženy_na_ohnici!AO:AO,"Adj+Adv")</f>
        <v>0</v>
      </c>
      <c r="I84">
        <f>COUNTIF(Větroplach!X:X,"Adj+Adv")</f>
        <v>0</v>
      </c>
      <c r="J84" s="21">
        <f>COUNTIF(Na_hřbitově!AO:AO,"Adj+Adv")</f>
        <v>0</v>
      </c>
      <c r="K84">
        <f>COUNTIF(Rekonvalescent!X:X,"Adj+Adv")</f>
        <v>0</v>
      </c>
      <c r="L84">
        <f>COUNTIF(Píseň_o_studni!X:X,"Adj+Adv")</f>
        <v>0</v>
      </c>
      <c r="M84">
        <f>COUNTIF(Spáči_mluví_ze_sna!X:X,"Adj+Adv")</f>
        <v>0</v>
      </c>
      <c r="N84" s="21">
        <f>COUNTIF(Kvetoucí_mohyla!AO:AO,"Adj+Adv")</f>
        <v>0</v>
      </c>
      <c r="O84" s="21">
        <f>COUNTIF(Slunovrat!AO:AO,"Adj+Adv")</f>
        <v>0</v>
      </c>
      <c r="P84">
        <f>COUNTIF(Hromnice_hoří!X:X,"Adj+Adv")</f>
        <v>0</v>
      </c>
      <c r="R84" t="s">
        <v>637</v>
      </c>
      <c r="S84">
        <f>SUM(E84:P84)</f>
        <v>0</v>
      </c>
      <c r="T84" s="14">
        <f>S84/$S$104</f>
        <v>0</v>
      </c>
      <c r="X84" s="9"/>
    </row>
    <row r="85" spans="4:24">
      <c r="T85" s="9"/>
      <c r="V85" t="s">
        <v>638</v>
      </c>
      <c r="W85">
        <f>S88</f>
        <v>0</v>
      </c>
      <c r="X85" s="14">
        <f>W85/$W$94</f>
        <v>0</v>
      </c>
    </row>
    <row r="86" spans="4:24">
      <c r="D86" t="s">
        <v>639</v>
      </c>
      <c r="E86">
        <f>COUNTIF(Hory!X:X,"Pron+N")</f>
        <v>0</v>
      </c>
      <c r="F86" s="21">
        <f>COUNTIF(Zavolej!AO:AO,"Pron+N")</f>
        <v>0</v>
      </c>
      <c r="G86">
        <f>COUNTIF(Ještě_jaro!X:X,"Pron+N")</f>
        <v>0</v>
      </c>
      <c r="H86" s="21">
        <f>COUNTIF(Ženy_na_ohnici!AO:AO,"Pron+N")</f>
        <v>0</v>
      </c>
      <c r="I86">
        <f>COUNTIF(Větroplach!X:X,"Pron+N")</f>
        <v>0</v>
      </c>
      <c r="J86" s="21">
        <f>COUNTIF(Na_hřbitově!AO:AO,"Pron+N")</f>
        <v>0</v>
      </c>
      <c r="K86">
        <f>COUNTIF(Rekonvalescent!X:X,"Pron+N")</f>
        <v>0</v>
      </c>
      <c r="L86">
        <f>COUNTIF(Píseň_o_studni!X:X,"Pron+N")</f>
        <v>0</v>
      </c>
      <c r="M86">
        <v>0</v>
      </c>
      <c r="N86" s="21">
        <f>COUNTIF(Kvetoucí_mohyla!AO:AO,"Pron+N")</f>
        <v>1</v>
      </c>
      <c r="O86" s="21">
        <f>COUNTIF(Slunovrat!AO:AO,"Pron+N")</f>
        <v>0</v>
      </c>
      <c r="P86">
        <f>COUNTIF(Hromnice_hoří!X:X,"Pron+N")</f>
        <v>0</v>
      </c>
      <c r="R86" t="s">
        <v>639</v>
      </c>
      <c r="S86">
        <f>SUM(E86:P86)</f>
        <v>1</v>
      </c>
      <c r="T86" s="9">
        <f>S86/$S$104</f>
        <v>5.2631578947368418E-2</v>
      </c>
      <c r="V86" t="s">
        <v>640</v>
      </c>
      <c r="W86">
        <f>S89+S94</f>
        <v>0</v>
      </c>
      <c r="X86" s="9">
        <f>W86/$W$94</f>
        <v>0</v>
      </c>
    </row>
    <row r="87" spans="4:24">
      <c r="D87" t="s">
        <v>641</v>
      </c>
      <c r="E87">
        <f>COUNTIF(Hory!X:X,"Pron+Adj")</f>
        <v>0</v>
      </c>
      <c r="F87" s="21">
        <f>COUNTIF(Zavolej!AO:AO,"Pron+Adj")</f>
        <v>0</v>
      </c>
      <c r="G87">
        <v>0</v>
      </c>
      <c r="H87" s="21">
        <f>COUNTIF(Ženy_na_ohnici!AO:AO,"Pron+Adj")</f>
        <v>0</v>
      </c>
      <c r="I87">
        <f>COUNTIF(Větroplach!X:X,"Pron+Adj")</f>
        <v>0</v>
      </c>
      <c r="J87" s="21">
        <f>COUNTIF(Na_hřbitově!AO:AO,"Pron+Adj")</f>
        <v>0</v>
      </c>
      <c r="K87">
        <f>COUNTIF(Rekonvalescent!X:X,"Pron+Adj")</f>
        <v>0</v>
      </c>
      <c r="L87">
        <f>COUNTIF(Píseň_o_studni!X:X,"Pron+Adj")</f>
        <v>0</v>
      </c>
      <c r="M87">
        <f>COUNTIF(Spáči_mluví_ze_sna!X:X,"Pron+Adj")</f>
        <v>0</v>
      </c>
      <c r="N87" s="21">
        <f>COUNTIF(Kvetoucí_mohyla!AO:AO,"Pron+Adj")</f>
        <v>0</v>
      </c>
      <c r="O87" s="21">
        <f>COUNTIF(Slunovrat!AO:AO,"Pron+Adj")</f>
        <v>0</v>
      </c>
      <c r="P87">
        <f>COUNTIF(Hromnice_hoří!X:X,"Pron+Adj")</f>
        <v>0</v>
      </c>
      <c r="R87" t="s">
        <v>641</v>
      </c>
      <c r="S87">
        <f>SUM(E87:P87)</f>
        <v>0</v>
      </c>
      <c r="T87" s="9">
        <f>S87/$S$104</f>
        <v>0</v>
      </c>
      <c r="V87" t="s">
        <v>642</v>
      </c>
      <c r="W87">
        <f>S90+S100</f>
        <v>0</v>
      </c>
      <c r="X87" s="14">
        <f>W87/$W$94</f>
        <v>0</v>
      </c>
    </row>
    <row r="88" spans="4:24">
      <c r="D88" t="s">
        <v>638</v>
      </c>
      <c r="E88">
        <f>COUNTIF(Hory!X:X,"Pron+Pron")</f>
        <v>0</v>
      </c>
      <c r="F88" s="21">
        <f>COUNTIF(Zavolej!AO:AO,"Pron+Pron")</f>
        <v>0</v>
      </c>
      <c r="G88">
        <f>COUNTIF(Ještě_jaro!X:X,"Pron+Pron")</f>
        <v>0</v>
      </c>
      <c r="H88" s="21">
        <f>COUNTIF(Ženy_na_ohnici!AO:AO,"Pron+Pron")</f>
        <v>0</v>
      </c>
      <c r="I88">
        <f>COUNTIF(Větroplach!X:X,"Pron+Pron")</f>
        <v>0</v>
      </c>
      <c r="J88" s="21">
        <f>COUNTIF(Na_hřbitově!AO:AO,"Pron+Pron")</f>
        <v>0</v>
      </c>
      <c r="K88">
        <f>COUNTIF(Rekonvalescent!X:X,"Pron+Pron")</f>
        <v>0</v>
      </c>
      <c r="L88">
        <f>COUNTIF(Píseň_o_studni!X:X,"Pron+Pron")</f>
        <v>0</v>
      </c>
      <c r="M88">
        <f>COUNTIF(Spáči_mluví_ze_sna!X:X,"Pron+Pron")</f>
        <v>0</v>
      </c>
      <c r="N88" s="21">
        <f>COUNTIF(Kvetoucí_mohyla!AO:AO,"Pron+Pron")</f>
        <v>0</v>
      </c>
      <c r="O88" s="21">
        <f>COUNTIF(Slunovrat!AO:AO,"Pron+Pron")</f>
        <v>0</v>
      </c>
      <c r="P88">
        <f>COUNTIF(Hromnice_hoří!X:X,"Pron+Pron")</f>
        <v>0</v>
      </c>
      <c r="R88" t="s">
        <v>638</v>
      </c>
      <c r="S88">
        <f>SUM(E88:P88)</f>
        <v>0</v>
      </c>
      <c r="T88" s="14">
        <f>S88/$S$104</f>
        <v>0</v>
      </c>
      <c r="X88" s="9"/>
    </row>
    <row r="89" spans="4:24">
      <c r="D89" t="s">
        <v>643</v>
      </c>
      <c r="E89">
        <f>COUNTIF(Hory!X:X,"Pron+V")</f>
        <v>0</v>
      </c>
      <c r="F89" s="21">
        <f>COUNTIF(Zavolej!AO:AO,"Pron+V")</f>
        <v>0</v>
      </c>
      <c r="G89">
        <v>0</v>
      </c>
      <c r="H89" s="21">
        <f>COUNTIF(Ženy_na_ohnici!AO:AO,"Pron+V")</f>
        <v>0</v>
      </c>
      <c r="I89">
        <f>COUNTIF(Větroplach!X:X,"Pron+V")</f>
        <v>0</v>
      </c>
      <c r="J89" s="21">
        <f>COUNTIF(Na_hřbitově!AO:AO,"Pron+V")</f>
        <v>0</v>
      </c>
      <c r="K89">
        <f>COUNTIF(Rekonvalescent!X:X,"Pron+V")</f>
        <v>0</v>
      </c>
      <c r="L89">
        <f>COUNTIF(Píseň_o_studni!X:X,"Pron+V")</f>
        <v>0</v>
      </c>
      <c r="M89">
        <v>0</v>
      </c>
      <c r="N89" s="21">
        <f>COUNTIF(Kvetoucí_mohyla!AO:AO,"Pron+V")</f>
        <v>0</v>
      </c>
      <c r="O89" s="21">
        <f>COUNTIF(Slunovrat!AO:AO,"Pron+V")</f>
        <v>0</v>
      </c>
      <c r="P89">
        <f>COUNTIF(Hromnice_hoří!X:X,"Pron+V")</f>
        <v>0</v>
      </c>
      <c r="R89" t="s">
        <v>643</v>
      </c>
      <c r="S89">
        <f>SUM(E89:P89)</f>
        <v>0</v>
      </c>
      <c r="T89" s="9">
        <f>S89/$S$104</f>
        <v>0</v>
      </c>
      <c r="V89" t="s">
        <v>644</v>
      </c>
      <c r="W89">
        <f>S95</f>
        <v>2</v>
      </c>
      <c r="X89" s="9">
        <f>W89/$W$94</f>
        <v>0.10526315789473684</v>
      </c>
    </row>
    <row r="90" spans="4:24">
      <c r="D90" t="s">
        <v>645</v>
      </c>
      <c r="E90">
        <f>COUNTIF(Hory!X:X,"Pron+Adv")</f>
        <v>0</v>
      </c>
      <c r="F90" s="21">
        <f>COUNTIF(Zavolej!AO:AO,"Pron+Adv")</f>
        <v>0</v>
      </c>
      <c r="G90">
        <f>COUNTIF(Ještě_jaro!X:X,"Pron+Adv")</f>
        <v>0</v>
      </c>
      <c r="H90" s="21">
        <f>COUNTIF(Ženy_na_ohnici!AO:AO,"Pron+Adv")</f>
        <v>0</v>
      </c>
      <c r="I90">
        <f>COUNTIF(Větroplach!X:X,"Pron+Adv")</f>
        <v>0</v>
      </c>
      <c r="J90" s="21">
        <f>COUNTIF(Na_hřbitově!AO:AO,"Pron+Adv")</f>
        <v>0</v>
      </c>
      <c r="K90">
        <f>COUNTIF(Rekonvalescent!X:X,"Pron+Adv")</f>
        <v>0</v>
      </c>
      <c r="L90">
        <f>COUNTIF(Píseň_o_studni!X:X,"Pron+Adv")</f>
        <v>0</v>
      </c>
      <c r="M90">
        <f>COUNTIF(Spáči_mluví_ze_sna!X:X,"Pron+Adv")</f>
        <v>0</v>
      </c>
      <c r="N90" s="21">
        <f>COUNTIF(Kvetoucí_mohyla!AO:AO,"Pron+Adv")</f>
        <v>0</v>
      </c>
      <c r="O90" s="21">
        <f>COUNTIF(Slunovrat!AO:AO,"Pron+Adv")</f>
        <v>0</v>
      </c>
      <c r="P90">
        <f>COUNTIF(Hromnice_hoří!X:X,"Pron+Adv")</f>
        <v>0</v>
      </c>
      <c r="R90" t="s">
        <v>645</v>
      </c>
      <c r="S90">
        <f>SUM(E90:P90)</f>
        <v>0</v>
      </c>
      <c r="T90" s="14">
        <f>S90/$S$104</f>
        <v>0</v>
      </c>
      <c r="V90" t="s">
        <v>646</v>
      </c>
      <c r="W90">
        <f>S96+S101</f>
        <v>0</v>
      </c>
      <c r="X90" s="9">
        <f>W90/$W$94</f>
        <v>0</v>
      </c>
    </row>
    <row r="91" spans="4:24">
      <c r="T91" s="9"/>
      <c r="X91" s="9"/>
    </row>
    <row r="92" spans="4:24">
      <c r="D92" t="s">
        <v>647</v>
      </c>
      <c r="E92">
        <v>0</v>
      </c>
      <c r="F92" s="21">
        <f>COUNTIF(Zavolej!AO:AO,"V+N")</f>
        <v>2</v>
      </c>
      <c r="G92">
        <v>0</v>
      </c>
      <c r="H92" s="21">
        <f>COUNTIF(Ženy_na_ohnici!AO:AO,"V+N")</f>
        <v>1</v>
      </c>
      <c r="I92">
        <f>COUNTIF(Větroplach!X:X,"V+N")</f>
        <v>0</v>
      </c>
      <c r="J92" s="21">
        <f>COUNTIF(Na_hřbitově!AO:AO,"V+N")</f>
        <v>0</v>
      </c>
      <c r="K92">
        <v>0</v>
      </c>
      <c r="L92">
        <f>COUNTIF(Píseň_o_studni!X:X,"V+N")</f>
        <v>0</v>
      </c>
      <c r="M92">
        <f>COUNTIF(Spáči_mluví_ze_sna!X:X,"V+N")</f>
        <v>0</v>
      </c>
      <c r="N92" s="21">
        <f>COUNTIF(Kvetoucí_mohyla!AO:AO,"V+N")</f>
        <v>0</v>
      </c>
      <c r="O92" s="21">
        <f>COUNTIF(Slunovrat!AO:AO,"V+N")</f>
        <v>0</v>
      </c>
      <c r="P92">
        <f>COUNTIF(Hromnice_hoří!X:X,"V+N")</f>
        <v>0</v>
      </c>
      <c r="R92" t="s">
        <v>647</v>
      </c>
      <c r="S92">
        <f>SUM(E92:P92)</f>
        <v>3</v>
      </c>
      <c r="T92" s="9">
        <f>S92/$S$104</f>
        <v>0.15789473684210525</v>
      </c>
      <c r="V92" t="s">
        <v>648</v>
      </c>
      <c r="W92">
        <f>S102</f>
        <v>0</v>
      </c>
      <c r="X92" s="14">
        <f>W92/$W$94</f>
        <v>0</v>
      </c>
    </row>
    <row r="93" spans="4:24">
      <c r="D93" t="s">
        <v>649</v>
      </c>
      <c r="E93">
        <f>COUNTIF(Hory!X:X,"V+Adj")</f>
        <v>0</v>
      </c>
      <c r="F93" s="21">
        <f>COUNTIF(Zavolej!AO:AO,"V+Adj")</f>
        <v>0</v>
      </c>
      <c r="G93">
        <f>COUNTIF(Ještě_jaro!X:X,"V+Adj")</f>
        <v>0</v>
      </c>
      <c r="H93" s="21">
        <f>COUNTIF(Ženy_na_ohnici!AO:AO,"V+Adj")</f>
        <v>0</v>
      </c>
      <c r="I93">
        <f>COUNTIF(Větroplach!X:X,"V+Adj")</f>
        <v>0</v>
      </c>
      <c r="J93" s="21">
        <f>COUNTIF(Na_hřbitově!AO:AO,"V+Adj")</f>
        <v>0</v>
      </c>
      <c r="K93">
        <v>0</v>
      </c>
      <c r="L93">
        <f>COUNTIF(Píseň_o_studni!X:X,"V+Adj")</f>
        <v>0</v>
      </c>
      <c r="M93">
        <v>0</v>
      </c>
      <c r="N93" s="21">
        <f>COUNTIF(Kvetoucí_mohyla!AO:AO,"V+Adj")</f>
        <v>0</v>
      </c>
      <c r="O93" s="21">
        <f>COUNTIF(Slunovrat!AO:AO,"V+Adj")</f>
        <v>0</v>
      </c>
      <c r="P93">
        <v>0</v>
      </c>
      <c r="R93" t="s">
        <v>649</v>
      </c>
      <c r="S93">
        <f>SUM(E93:P93)</f>
        <v>0</v>
      </c>
      <c r="T93" s="9">
        <f>S93/$S$104</f>
        <v>0</v>
      </c>
    </row>
    <row r="94" spans="4:24">
      <c r="D94" t="s">
        <v>650</v>
      </c>
      <c r="E94">
        <f>COUNTIF(Hory!X:X,"V+Pron")</f>
        <v>0</v>
      </c>
      <c r="F94" s="21">
        <f>COUNTIF(Zavolej!AO:AO,"V+Pron")</f>
        <v>0</v>
      </c>
      <c r="G94">
        <f>COUNTIF(Ještě_jaro!X:X,"V+Pron")</f>
        <v>0</v>
      </c>
      <c r="H94" s="21">
        <f>COUNTIF(Ženy_na_ohnici!AO:AO,"V+Pron")</f>
        <v>0</v>
      </c>
      <c r="I94">
        <f>COUNTIF(Větroplach!X:X,"V+Pron")</f>
        <v>0</v>
      </c>
      <c r="J94" s="21">
        <f>COUNTIF(Na_hřbitově!AO:AO,"V+Pron")</f>
        <v>0</v>
      </c>
      <c r="K94">
        <f>COUNTIF(Rekonvalescent!X:X,"V+Pron")</f>
        <v>0</v>
      </c>
      <c r="L94">
        <f>COUNTIF(Píseň_o_studni!X:X,"V+Pron")</f>
        <v>0</v>
      </c>
      <c r="M94">
        <f>COUNTIF(Spáči_mluví_ze_sna!X:X,"V+Pron")</f>
        <v>0</v>
      </c>
      <c r="N94" s="21">
        <f>COUNTIF(Kvetoucí_mohyla!AO:AO,"V+Pron")</f>
        <v>0</v>
      </c>
      <c r="O94" s="21">
        <f>COUNTIF(Slunovrat!AO:AO,"V+Pron")</f>
        <v>0</v>
      </c>
      <c r="P94">
        <f>COUNTIF(Hromnice_hoří!X:X,"V+Pron")</f>
        <v>0</v>
      </c>
      <c r="R94" t="s">
        <v>650</v>
      </c>
      <c r="S94">
        <f>SUM(E94:P94)</f>
        <v>0</v>
      </c>
      <c r="T94" s="14">
        <f>S94/$S$104</f>
        <v>0</v>
      </c>
      <c r="V94" t="s">
        <v>591</v>
      </c>
      <c r="W94">
        <f>SUM(W74:W92)</f>
        <v>19</v>
      </c>
    </row>
    <row r="95" spans="4:24">
      <c r="D95" t="s">
        <v>644</v>
      </c>
      <c r="E95">
        <v>0</v>
      </c>
      <c r="F95" s="21">
        <f>COUNTIF(Zavolej!AO:AO,"V+V")</f>
        <v>2</v>
      </c>
      <c r="G95">
        <v>0</v>
      </c>
      <c r="H95" s="21">
        <f>COUNTIF(Ženy_na_ohnici!AO:AO,"V+V")</f>
        <v>0</v>
      </c>
      <c r="I95">
        <v>0</v>
      </c>
      <c r="J95" s="21">
        <f>COUNTIF(Na_hřbitově!AO:AO,"V+V")</f>
        <v>0</v>
      </c>
      <c r="K95">
        <f>COUNTIF(Rekonvalescent!X:X,"V+V")</f>
        <v>0</v>
      </c>
      <c r="L95">
        <v>0</v>
      </c>
      <c r="M95">
        <v>0</v>
      </c>
      <c r="N95" s="21">
        <f>COUNTIF(Kvetoucí_mohyla!AO:AO,"V+V")</f>
        <v>0</v>
      </c>
      <c r="O95" s="21">
        <f>COUNTIF(Slunovrat!AO:AO,"V+V")</f>
        <v>0</v>
      </c>
      <c r="P95">
        <v>0</v>
      </c>
      <c r="R95" t="s">
        <v>644</v>
      </c>
      <c r="S95">
        <f>SUM(E95:P95)</f>
        <v>2</v>
      </c>
      <c r="T95" s="9">
        <f>S95/$S$104</f>
        <v>0.10526315789473684</v>
      </c>
    </row>
    <row r="96" spans="4:24">
      <c r="D96" t="s">
        <v>651</v>
      </c>
      <c r="E96">
        <v>0</v>
      </c>
      <c r="F96" s="21">
        <f>COUNTIF(Zavolej!AO:AO,"V+Adv")</f>
        <v>0</v>
      </c>
      <c r="G96">
        <f>COUNTIF(Ještě_jaro!X:X,"V+Adv")</f>
        <v>0</v>
      </c>
      <c r="H96" s="21">
        <f>COUNTIF(Ženy_na_ohnici!AO:AO,"V+Adv")</f>
        <v>0</v>
      </c>
      <c r="I96">
        <f>COUNTIF(Větroplach!X:X,"V+Adv")</f>
        <v>0</v>
      </c>
      <c r="J96" s="21">
        <f>COUNTIF(Na_hřbitově!AO:AO,"V+Adv")</f>
        <v>0</v>
      </c>
      <c r="K96">
        <v>0</v>
      </c>
      <c r="L96">
        <f>COUNTIF(Píseň_o_studni!X:X,"V+Adv")</f>
        <v>0</v>
      </c>
      <c r="M96">
        <f>COUNTIF(Spáči_mluví_ze_sna!X:X,"V+Adv")</f>
        <v>0</v>
      </c>
      <c r="N96" s="21">
        <f>COUNTIF(Kvetoucí_mohyla!AO:AO,"V+Adv")</f>
        <v>0</v>
      </c>
      <c r="O96" s="21">
        <f>COUNTIF(Slunovrat!AO:AO,"V+Adv")</f>
        <v>0</v>
      </c>
      <c r="P96">
        <f>COUNTIF(Hromnice_hoří!X:X,"V+Adv")</f>
        <v>0</v>
      </c>
      <c r="R96" t="s">
        <v>651</v>
      </c>
      <c r="S96">
        <f>SUM(E96:P96)</f>
        <v>0</v>
      </c>
      <c r="T96" s="9">
        <f>S96/$S$104</f>
        <v>0</v>
      </c>
    </row>
    <row r="97" spans="2:25">
      <c r="T97" s="9"/>
    </row>
    <row r="98" spans="2:25">
      <c r="D98" t="s">
        <v>652</v>
      </c>
      <c r="E98">
        <f>COUNTIF(Hory!X:X,"Adv+N")</f>
        <v>0</v>
      </c>
      <c r="F98" s="21">
        <f>COUNTIF(Zavolej!AO:AO,"Adv+N")</f>
        <v>0</v>
      </c>
      <c r="G98">
        <f>COUNTIF(Ještě_jaro!X:X,"Adv+N")</f>
        <v>0</v>
      </c>
      <c r="H98" s="21">
        <f>COUNTIF(Ženy_na_ohnici!AO:AO,"Adv+N")</f>
        <v>0</v>
      </c>
      <c r="I98">
        <f>COUNTIF(Větroplach!X:X,"Adv+N")</f>
        <v>0</v>
      </c>
      <c r="J98" s="21">
        <f>COUNTIF(Na_hřbitově!AO:AO,"Adv+N")</f>
        <v>0</v>
      </c>
      <c r="K98">
        <f>COUNTIF(Rekonvalescent!X:X,"Adv+N")</f>
        <v>0</v>
      </c>
      <c r="L98">
        <f>COUNTIF(Píseň_o_studni!X:X,"Adv+N")</f>
        <v>0</v>
      </c>
      <c r="M98">
        <f>COUNTIF(Spáči_mluví_ze_sna!X:X,"Adv+N")</f>
        <v>0</v>
      </c>
      <c r="N98" s="21">
        <f>COUNTIF(Kvetoucí_mohyla!AO:AO,"Adv+N")</f>
        <v>0</v>
      </c>
      <c r="O98" s="21">
        <f>COUNTIF(Slunovrat!AO:AO,"Adv+N")</f>
        <v>0</v>
      </c>
      <c r="P98">
        <v>0</v>
      </c>
      <c r="R98" t="s">
        <v>652</v>
      </c>
      <c r="S98">
        <f>SUM(E98:P98)</f>
        <v>0</v>
      </c>
      <c r="T98" s="9">
        <f>S98/$S$104</f>
        <v>0</v>
      </c>
    </row>
    <row r="99" spans="2:25">
      <c r="D99" t="s">
        <v>653</v>
      </c>
      <c r="E99">
        <f>COUNTIF(Hory!X:X,"Adv+Adj")</f>
        <v>0</v>
      </c>
      <c r="F99" s="21">
        <f>COUNTIF(Zavolej!AO:AO,"Adv+Adj")</f>
        <v>0</v>
      </c>
      <c r="G99">
        <f>COUNTIF(Ještě_jaro!X:X,"Adv+Adj")</f>
        <v>0</v>
      </c>
      <c r="H99" s="21">
        <f>COUNTIF(Ženy_na_ohnici!AO:AO,"Adv+Adj")</f>
        <v>0</v>
      </c>
      <c r="I99">
        <f>COUNTIF(Větroplach!X:X,"Adv+Adj")</f>
        <v>0</v>
      </c>
      <c r="J99" s="21">
        <f>COUNTIF(Na_hřbitově!AO:AO,"Adv+Adj")</f>
        <v>0</v>
      </c>
      <c r="K99">
        <f>COUNTIF(Rekonvalescent!X:X,"Adv+Adj")</f>
        <v>0</v>
      </c>
      <c r="L99">
        <f>COUNTIF(Píseň_o_studni!X:X,"Adv+Adj")</f>
        <v>0</v>
      </c>
      <c r="M99">
        <f>COUNTIF(Spáči_mluví_ze_sna!X:X,"Adv+Adj")</f>
        <v>0</v>
      </c>
      <c r="N99" s="21">
        <f>COUNTIF(Kvetoucí_mohyla!AO:AO,"Adv+Adj")</f>
        <v>0</v>
      </c>
      <c r="O99" s="21">
        <f>COUNTIF(Slunovrat!AO:AO,"Adv+Adj")</f>
        <v>0</v>
      </c>
      <c r="P99">
        <f>COUNTIF(Hromnice_hoří!X:X,"Adv+Adj")</f>
        <v>0</v>
      </c>
      <c r="R99" t="s">
        <v>653</v>
      </c>
      <c r="S99">
        <f>SUM(E99:P99)</f>
        <v>0</v>
      </c>
      <c r="T99" s="14">
        <f>S99/$S$104</f>
        <v>0</v>
      </c>
    </row>
    <row r="100" spans="2:25">
      <c r="D100" t="s">
        <v>654</v>
      </c>
      <c r="E100">
        <f>COUNTIF(Hory!X:X,"Adv+Pron")</f>
        <v>0</v>
      </c>
      <c r="F100" s="21">
        <f>COUNTIF(Zavolej!AO:AO,"Adv+Pron")</f>
        <v>0</v>
      </c>
      <c r="G100">
        <f>COUNTIF(Ještě_jaro!X:X,"Adv+Pron")</f>
        <v>0</v>
      </c>
      <c r="H100" s="21">
        <f>COUNTIF(Ženy_na_ohnici!AO:AO,"Adv+Pron")</f>
        <v>0</v>
      </c>
      <c r="I100">
        <f>COUNTIF(Větroplach!X:X,"Adv+Pron")</f>
        <v>0</v>
      </c>
      <c r="J100" s="21">
        <f>COUNTIF(Na_hřbitově!AO:AO,"Adv+Pron")</f>
        <v>0</v>
      </c>
      <c r="K100">
        <f>COUNTIF(Rekonvalescent!X:X,"Adv+Pron")</f>
        <v>0</v>
      </c>
      <c r="L100">
        <f>COUNTIF(Píseň_o_studni!X:X,"Adv+Pron")</f>
        <v>0</v>
      </c>
      <c r="M100">
        <f>COUNTIF(Spáči_mluví_ze_sna!X:X,"Adv+Pron")</f>
        <v>0</v>
      </c>
      <c r="N100" s="21">
        <f>COUNTIF(Kvetoucí_mohyla!AO:AO,"Adv+Pron")</f>
        <v>0</v>
      </c>
      <c r="O100" s="21">
        <f>COUNTIF(Slunovrat!AO:AO,"Adv+Pron")</f>
        <v>0</v>
      </c>
      <c r="P100">
        <f>COUNTIF(Hromnice_hoří!X:X,"Adv+Pron")</f>
        <v>0</v>
      </c>
      <c r="R100" t="s">
        <v>654</v>
      </c>
      <c r="S100">
        <f>SUM(E100:P100)</f>
        <v>0</v>
      </c>
      <c r="T100" s="14">
        <f>S100/$S$104</f>
        <v>0</v>
      </c>
    </row>
    <row r="101" spans="2:25">
      <c r="D101" t="s">
        <v>655</v>
      </c>
      <c r="E101">
        <f>COUNTIF(Hory!X:X,"Adv+V")</f>
        <v>0</v>
      </c>
      <c r="F101" s="21">
        <f>COUNTIF(Zavolej!AO:AO,"Adv+V")</f>
        <v>0</v>
      </c>
      <c r="G101">
        <f>COUNTIF(Ještě_jaro!X:X,"Adv+V")</f>
        <v>0</v>
      </c>
      <c r="H101" s="21">
        <f>COUNTIF(Ženy_na_ohnici!AO:AO,"Adv+V")</f>
        <v>0</v>
      </c>
      <c r="I101">
        <v>0</v>
      </c>
      <c r="J101" s="21">
        <f>COUNTIF(Na_hřbitově!AO:AO,"Adv+V")</f>
        <v>0</v>
      </c>
      <c r="K101">
        <f>COUNTIF(Rekonvalescent!X:X,"Adv+V")</f>
        <v>0</v>
      </c>
      <c r="L101">
        <f>COUNTIF(Píseň_o_studni!X:X,"Adv+V")</f>
        <v>0</v>
      </c>
      <c r="M101">
        <f>COUNTIF(Spáči_mluví_ze_sna!X:X,"Adv+V")</f>
        <v>0</v>
      </c>
      <c r="N101" s="21">
        <f>COUNTIF(Kvetoucí_mohyla!AO:AO,"Adv+V")</f>
        <v>0</v>
      </c>
      <c r="O101" s="21">
        <f>COUNTIF(Slunovrat!X:X,"Adv+V")</f>
        <v>0</v>
      </c>
      <c r="P101">
        <f>COUNTIF(Hromnice_hoří!X:X,"Adv+V")</f>
        <v>0</v>
      </c>
      <c r="R101" t="s">
        <v>655</v>
      </c>
      <c r="S101">
        <f>SUM(E101:P101)</f>
        <v>0</v>
      </c>
      <c r="T101" s="9">
        <f>S101/$S$104</f>
        <v>0</v>
      </c>
    </row>
    <row r="102" spans="2:25">
      <c r="D102" t="s">
        <v>648</v>
      </c>
      <c r="E102">
        <f>COUNTIF(Hory!X:X,"Adv+Adv")</f>
        <v>0</v>
      </c>
      <c r="F102" s="21">
        <f>COUNTIF(Zavolej!AO:AO,"Adv+Adv")</f>
        <v>0</v>
      </c>
      <c r="G102">
        <f>COUNTIF(Ještě_jaro!X:X,"Adv+Adv")</f>
        <v>0</v>
      </c>
      <c r="H102" s="21">
        <f>COUNTIF(Ženy_na_ohnici!AO:AO,"Adv+Adv")</f>
        <v>0</v>
      </c>
      <c r="I102">
        <v>0</v>
      </c>
      <c r="J102" s="21">
        <f>COUNTIF(Na_hřbitově!AO:AO,"Adv+Adv")</f>
        <v>0</v>
      </c>
      <c r="K102">
        <f>COUNTIF(Rekonvalescent!X:X,"Adv+Adv")</f>
        <v>0</v>
      </c>
      <c r="L102">
        <f>COUNTIF(Píseň_o_studni!X:X,"Adv+Adv")</f>
        <v>0</v>
      </c>
      <c r="M102">
        <f>COUNTIF(Spáči_mluví_ze_sna!X:X,"Adv+Adv")</f>
        <v>0</v>
      </c>
      <c r="N102" s="21">
        <f>COUNTIF(Kvetoucí_mohyla!AO:AO,"Adv+Adv")</f>
        <v>0</v>
      </c>
      <c r="O102" s="21">
        <f>COUNTIF(Slunovrat!X:X,"Adv+Adv")</f>
        <v>0</v>
      </c>
      <c r="P102">
        <f>COUNTIF(Hromnice_hoří!X:X,"Adv+Adv")</f>
        <v>0</v>
      </c>
      <c r="R102" t="s">
        <v>648</v>
      </c>
      <c r="S102">
        <f>SUM(E102:P102)</f>
        <v>0</v>
      </c>
      <c r="T102" s="14">
        <f>S102/$S$104</f>
        <v>0</v>
      </c>
    </row>
    <row r="104" spans="2:25">
      <c r="R104" t="s">
        <v>591</v>
      </c>
      <c r="S104">
        <f>SUM(S74:S102)</f>
        <v>19</v>
      </c>
    </row>
    <row r="105" spans="2:25">
      <c r="B105" s="15"/>
      <c r="C105" s="15"/>
      <c r="D105" s="15"/>
      <c r="E105" s="15"/>
      <c r="F105" s="22"/>
      <c r="G105" s="15"/>
      <c r="H105" s="22"/>
      <c r="I105" s="15"/>
      <c r="J105" s="22"/>
      <c r="K105" s="15"/>
      <c r="L105" s="15"/>
      <c r="M105" s="15"/>
      <c r="N105" s="22"/>
      <c r="O105" s="22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7" spans="2:25" ht="14.45" customHeight="1">
      <c r="B107" s="56" t="s">
        <v>29</v>
      </c>
      <c r="E107" t="s">
        <v>7</v>
      </c>
      <c r="F107" s="21" t="s">
        <v>104</v>
      </c>
      <c r="G107" t="s">
        <v>138</v>
      </c>
      <c r="H107" s="21" t="s">
        <v>169</v>
      </c>
      <c r="I107" t="s">
        <v>216</v>
      </c>
      <c r="J107" s="21" t="s">
        <v>244</v>
      </c>
      <c r="K107" t="s">
        <v>292</v>
      </c>
      <c r="L107" t="s">
        <v>320</v>
      </c>
      <c r="M107" t="s">
        <v>346</v>
      </c>
      <c r="N107" s="21" t="s">
        <v>372</v>
      </c>
      <c r="O107" s="21" t="s">
        <v>421</v>
      </c>
      <c r="P107" t="s">
        <v>464</v>
      </c>
      <c r="S107" s="8" t="s">
        <v>590</v>
      </c>
      <c r="T107" s="8" t="s">
        <v>538</v>
      </c>
    </row>
    <row r="108" spans="2:25">
      <c r="B108" s="57"/>
      <c r="D108" s="11">
        <v>0</v>
      </c>
      <c r="E108">
        <v>0</v>
      </c>
      <c r="F108" s="21">
        <f>COUNTIF(Zavolej!AP:AP,"0")</f>
        <v>0</v>
      </c>
      <c r="G108">
        <v>0</v>
      </c>
      <c r="H108" s="21">
        <f>COUNTIF(Ženy_na_ohnici!AP:AP,"0")</f>
        <v>0</v>
      </c>
      <c r="I108">
        <v>0</v>
      </c>
      <c r="J108" s="21">
        <f>COUNTIF(Na_hřbitově!AP:AP,"0")</f>
        <v>1</v>
      </c>
      <c r="K108">
        <v>0</v>
      </c>
      <c r="L108">
        <f>COUNTIF(Píseň_o_studni!Y:Y,"0")</f>
        <v>0</v>
      </c>
      <c r="M108">
        <f>COUNTIF(Spáči_mluví_ze_sna!Y:Y,"0")</f>
        <v>0</v>
      </c>
      <c r="N108" s="21">
        <f>COUNTIF(Kvetoucí_mohyla!AP:AP,"0")</f>
        <v>2</v>
      </c>
      <c r="O108" s="21">
        <f>COUNTIF(Slunovrat!AP:AP,"0")</f>
        <v>1</v>
      </c>
      <c r="P108">
        <v>0</v>
      </c>
      <c r="R108" s="11">
        <v>0</v>
      </c>
      <c r="S108">
        <f>SUM(E108:P108)</f>
        <v>4</v>
      </c>
      <c r="T108" s="9">
        <f>S108/$S$112</f>
        <v>0.21052631578947367</v>
      </c>
    </row>
    <row r="109" spans="2:25">
      <c r="B109" s="58"/>
      <c r="D109" s="11">
        <v>1</v>
      </c>
      <c r="E109">
        <v>0</v>
      </c>
      <c r="F109" s="21">
        <f>COUNTIF(Zavolej!AP:AP,"1")</f>
        <v>3</v>
      </c>
      <c r="G109">
        <v>0</v>
      </c>
      <c r="H109" s="21">
        <f>COUNTIF(Ženy_na_ohnici!AP:AP,"1")</f>
        <v>0</v>
      </c>
      <c r="I109">
        <v>0</v>
      </c>
      <c r="J109" s="21">
        <f>COUNTIF(Na_hřbitově!AP:AP,"1")</f>
        <v>1</v>
      </c>
      <c r="K109">
        <v>0</v>
      </c>
      <c r="L109">
        <v>0</v>
      </c>
      <c r="M109">
        <v>0</v>
      </c>
      <c r="N109" s="21">
        <f>COUNTIF(Kvetoucí_mohyla!AP:AP,"1")</f>
        <v>3</v>
      </c>
      <c r="O109" s="21">
        <f>COUNTIF(Slunovrat!AP:AP,"1")</f>
        <v>0</v>
      </c>
      <c r="P109">
        <v>0</v>
      </c>
      <c r="R109" s="11">
        <v>1</v>
      </c>
      <c r="S109">
        <f t="shared" ref="S109:S110" si="7">SUM(E109:P109)</f>
        <v>7</v>
      </c>
      <c r="T109" s="9">
        <f>S109/$S$112</f>
        <v>0.36842105263157893</v>
      </c>
    </row>
    <row r="110" spans="2:25">
      <c r="D110" s="11">
        <v>2</v>
      </c>
      <c r="E110">
        <v>0</v>
      </c>
      <c r="F110" s="21">
        <f>COUNTIF(Zavolej!AP:AP,"2")</f>
        <v>2</v>
      </c>
      <c r="G110">
        <v>0</v>
      </c>
      <c r="H110" s="21">
        <f>COUNTIF(Ženy_na_ohnici!AP:AP,"2")</f>
        <v>3</v>
      </c>
      <c r="I110">
        <v>0</v>
      </c>
      <c r="J110" s="21">
        <f>COUNTIF(Na_hřbitově!AP:AP,"2")</f>
        <v>1</v>
      </c>
      <c r="K110">
        <v>0</v>
      </c>
      <c r="L110">
        <v>0</v>
      </c>
      <c r="M110">
        <v>0</v>
      </c>
      <c r="N110" s="21">
        <f>COUNTIF(Kvetoucí_mohyla!AP:AP,"2")</f>
        <v>1</v>
      </c>
      <c r="O110" s="21">
        <f>COUNTIF(Slunovrat!AP:AP,"2")</f>
        <v>1</v>
      </c>
      <c r="P110">
        <v>0</v>
      </c>
      <c r="R110" s="11">
        <v>2</v>
      </c>
      <c r="S110">
        <f t="shared" si="7"/>
        <v>8</v>
      </c>
      <c r="T110" s="9">
        <f>S110/$S$112</f>
        <v>0.42105263157894735</v>
      </c>
    </row>
    <row r="112" spans="2:25">
      <c r="R112" t="s">
        <v>591</v>
      </c>
      <c r="S112">
        <f>SUM(S108:S110)</f>
        <v>19</v>
      </c>
    </row>
    <row r="113" spans="2:21">
      <c r="B113" s="15"/>
      <c r="C113" s="15"/>
      <c r="D113" s="15"/>
      <c r="E113" s="15"/>
      <c r="F113" s="22"/>
      <c r="G113" s="15"/>
      <c r="H113" s="22"/>
      <c r="I113" s="15"/>
      <c r="J113" s="22"/>
      <c r="K113" s="15"/>
      <c r="L113" s="15"/>
      <c r="M113" s="15"/>
      <c r="N113" s="22"/>
      <c r="O113" s="22"/>
      <c r="P113" s="15"/>
      <c r="Q113" s="15"/>
      <c r="R113" s="15"/>
      <c r="S113" s="15"/>
      <c r="T113" s="15"/>
      <c r="U113" s="15"/>
    </row>
    <row r="114" spans="2:21">
      <c r="C114" s="13"/>
    </row>
  </sheetData>
  <mergeCells count="8">
    <mergeCell ref="B58:B60"/>
    <mergeCell ref="B73:B75"/>
    <mergeCell ref="B107:B109"/>
    <mergeCell ref="B5:B7"/>
    <mergeCell ref="B13:B15"/>
    <mergeCell ref="B21:B23"/>
    <mergeCell ref="B31:B33"/>
    <mergeCell ref="B42:B44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99482-272B-4FE3-9770-3D4497875044}">
  <dimension ref="B2:AC23"/>
  <sheetViews>
    <sheetView tabSelected="1" workbookViewId="0">
      <selection activeCell="AG20" sqref="AG20"/>
    </sheetView>
  </sheetViews>
  <sheetFormatPr defaultRowHeight="15"/>
  <cols>
    <col min="10" max="10" width="10.140625" customWidth="1"/>
    <col min="11" max="11" width="10.7109375" customWidth="1"/>
    <col min="12" max="12" width="15" customWidth="1"/>
    <col min="13" max="13" width="12.5703125" customWidth="1"/>
    <col min="14" max="14" width="13.140625" customWidth="1"/>
    <col min="15" max="15" width="16" customWidth="1"/>
    <col min="16" max="16" width="15" customWidth="1"/>
    <col min="17" max="17" width="17.7109375" customWidth="1"/>
    <col min="18" max="18" width="16.85546875" customWidth="1"/>
    <col min="19" max="19" width="11.140625" customWidth="1"/>
    <col min="20" max="20" width="14.7109375" customWidth="1"/>
  </cols>
  <sheetData>
    <row r="2" spans="2:29">
      <c r="B2" s="75" t="s">
        <v>659</v>
      </c>
      <c r="C2" s="76"/>
      <c r="E2" s="79" t="s">
        <v>660</v>
      </c>
      <c r="F2" s="81" t="s">
        <v>661</v>
      </c>
      <c r="G2" s="26"/>
      <c r="I2" s="44" t="s">
        <v>7</v>
      </c>
      <c r="J2" s="44" t="s">
        <v>104</v>
      </c>
      <c r="K2" s="44" t="s">
        <v>138</v>
      </c>
      <c r="L2" s="44" t="s">
        <v>169</v>
      </c>
      <c r="M2" s="44" t="s">
        <v>216</v>
      </c>
      <c r="N2" s="44" t="s">
        <v>244</v>
      </c>
      <c r="O2" s="44" t="s">
        <v>292</v>
      </c>
      <c r="P2" s="44" t="s">
        <v>320</v>
      </c>
      <c r="Q2" s="44" t="s">
        <v>346</v>
      </c>
      <c r="R2" s="44" t="s">
        <v>372</v>
      </c>
      <c r="S2" s="44" t="s">
        <v>421</v>
      </c>
      <c r="T2" s="44" t="s">
        <v>464</v>
      </c>
      <c r="W2" s="45" t="s">
        <v>590</v>
      </c>
      <c r="X2" s="45" t="s">
        <v>538</v>
      </c>
      <c r="AB2" s="55" t="s">
        <v>590</v>
      </c>
      <c r="AC2" s="45" t="s">
        <v>538</v>
      </c>
    </row>
    <row r="3" spans="2:29">
      <c r="B3" s="77"/>
      <c r="C3" s="78"/>
      <c r="E3" s="80"/>
      <c r="F3" s="82"/>
      <c r="G3" s="26"/>
      <c r="H3" s="46" t="s">
        <v>596</v>
      </c>
      <c r="I3" s="37">
        <f>COUNTIF(Hory!$AL$9,"1/1")</f>
        <v>0</v>
      </c>
      <c r="J3" s="30">
        <f>COUNTIF(Zavolej!$AL$10:$AL$11,"1/1")</f>
        <v>0</v>
      </c>
      <c r="K3" s="37">
        <f>COUNTIF(Ještě_jaro!$AL$4:$AL$5,"1/1")</f>
        <v>1</v>
      </c>
      <c r="L3" s="30">
        <f>COUNTIF(Ženy_na_ohnici!$AL$9,"1/1")</f>
        <v>0</v>
      </c>
      <c r="M3" s="37">
        <v>0</v>
      </c>
      <c r="N3" s="30">
        <f>COUNTIF(Na_hřbitově!$AL$9:$AL$10,"1/1")</f>
        <v>1</v>
      </c>
      <c r="O3" s="37">
        <v>0</v>
      </c>
      <c r="P3" s="30">
        <f>COUNTIF(Píseň_o_studni!$AL$4:$AL$5,"1/1")</f>
        <v>0</v>
      </c>
      <c r="Q3" s="37">
        <f>COUNTIF(Spáči_mluví_ze_sna!$AL$4:$AL$7,"1/1")</f>
        <v>0</v>
      </c>
      <c r="R3" s="30">
        <f>COUNTIF(Kvetoucí_mohyla!$AL$9:$AL$10,"1/1")</f>
        <v>2</v>
      </c>
      <c r="S3" s="37">
        <f>COUNTIF(Slunovrat!$AL$9,"1/1")</f>
        <v>0</v>
      </c>
      <c r="T3" s="31">
        <f>COUNTIF(Hromnice_hoří!$AL$4:$AL$5,"1/1")</f>
        <v>0</v>
      </c>
      <c r="V3" s="46" t="s">
        <v>596</v>
      </c>
      <c r="W3" s="29">
        <f>SUM(I3:T3)</f>
        <v>4</v>
      </c>
      <c r="X3" s="41">
        <f>W3/$W$11</f>
        <v>0.22222222222222221</v>
      </c>
      <c r="Z3" s="83" t="s">
        <v>662</v>
      </c>
      <c r="AA3" s="84"/>
      <c r="AB3" s="34">
        <f>SUM(W3,W5,W8)</f>
        <v>9</v>
      </c>
      <c r="AC3" s="87">
        <f>AB3/$AB$7</f>
        <v>0.5</v>
      </c>
    </row>
    <row r="4" spans="2:29">
      <c r="E4" s="67">
        <f>W11</f>
        <v>18</v>
      </c>
      <c r="F4" s="69">
        <f>E4/145</f>
        <v>0.12413793103448276</v>
      </c>
      <c r="G4" s="26"/>
      <c r="H4" s="46" t="s">
        <v>598</v>
      </c>
      <c r="I4" s="39">
        <f>COUNTIF(Hory!$AL$9,"1/3")</f>
        <v>0</v>
      </c>
      <c r="J4">
        <f>COUNTIF(Zavolej!$AL$10:$AL$11,"1/3")</f>
        <v>0</v>
      </c>
      <c r="K4" s="39">
        <f>COUNTIF(Ještě_jaro!$AL$4:$AL$5,"1/3")</f>
        <v>0</v>
      </c>
      <c r="L4">
        <f>COUNTIF(Ženy_na_ohnici!$AL$9,"1/3")</f>
        <v>0</v>
      </c>
      <c r="M4" s="39">
        <v>0</v>
      </c>
      <c r="N4">
        <f>COUNTIF(Na_hřbitově!$AL$9:$AL$10,"1/3")</f>
        <v>0</v>
      </c>
      <c r="O4" s="39">
        <v>0</v>
      </c>
      <c r="P4">
        <f>COUNTIF(Píseň_o_studni!$AL$4:$AL$5,"1/3")</f>
        <v>0</v>
      </c>
      <c r="Q4" s="39">
        <f>COUNTIF(Spáči_mluví_ze_sna!$AL$4:$AL$7,"1/3")</f>
        <v>2</v>
      </c>
      <c r="R4">
        <f>COUNTIF(Kvetoucí_mohyla!$AL$9:$AL$10,"1/3")</f>
        <v>0</v>
      </c>
      <c r="S4" s="39">
        <f>COUNTIF(Slunovrat!$AL$9,"1/3")</f>
        <v>0</v>
      </c>
      <c r="T4" s="33">
        <f>COUNTIF(Hromnice_hoří!$AL$4:$AL$5,"1/3")</f>
        <v>0</v>
      </c>
      <c r="V4" s="46" t="s">
        <v>598</v>
      </c>
      <c r="W4" s="32">
        <f t="shared" ref="W4:W9" si="0">SUM(I4:T4)</f>
        <v>2</v>
      </c>
      <c r="X4" s="42">
        <f t="shared" ref="X4:X9" si="1">W4/$W$11</f>
        <v>0.1111111111111111</v>
      </c>
      <c r="Z4" s="83" t="s">
        <v>663</v>
      </c>
      <c r="AA4" s="84"/>
      <c r="AB4" s="86">
        <f>SUM(W7,W9)</f>
        <v>5</v>
      </c>
      <c r="AC4" s="87">
        <f t="shared" ref="AC4:AC5" si="2">AB4/$AB$7</f>
        <v>0.27777777777777779</v>
      </c>
    </row>
    <row r="5" spans="2:29">
      <c r="E5" s="68"/>
      <c r="F5" s="70"/>
      <c r="G5" s="26"/>
      <c r="H5" s="46" t="s">
        <v>600</v>
      </c>
      <c r="I5" s="39">
        <f>COUNTIF(Hory!$AL$9,"2/2")</f>
        <v>0</v>
      </c>
      <c r="J5">
        <f>COUNTIF(Zavolej!$AL$10:$AL$11,"2/2")</f>
        <v>0</v>
      </c>
      <c r="K5" s="39">
        <f>COUNTIF(Ještě_jaro!$AL$4:$AL$5,"2/2")</f>
        <v>0</v>
      </c>
      <c r="L5">
        <f>COUNTIF(Ženy_na_ohnici!$AL$9,"2/2")</f>
        <v>0</v>
      </c>
      <c r="M5" s="39">
        <v>0</v>
      </c>
      <c r="N5">
        <f>COUNTIF(Na_hřbitově!$AL$9:$AL$10,"2/2")</f>
        <v>0</v>
      </c>
      <c r="O5" s="39">
        <v>0</v>
      </c>
      <c r="P5">
        <f>COUNTIF(Píseň_o_studni!$AL$4:$AL$5,"2/2")</f>
        <v>0</v>
      </c>
      <c r="Q5" s="39">
        <f>COUNTIF(Spáči_mluví_ze_sna!$AL$4:$AL$7,"2/2")</f>
        <v>0</v>
      </c>
      <c r="R5">
        <f>COUNTIF(Kvetoucí_mohyla!$AL$9:$AL$10,"2/2")</f>
        <v>0</v>
      </c>
      <c r="S5" s="39">
        <f>COUNTIF(Slunovrat!$AL$9,"2/2")</f>
        <v>0</v>
      </c>
      <c r="T5" s="33">
        <f>COUNTIF(Hromnice_hoří!$AL$4:$AL$5,"2/2")</f>
        <v>2</v>
      </c>
      <c r="V5" s="46" t="s">
        <v>600</v>
      </c>
      <c r="W5" s="32">
        <f t="shared" si="0"/>
        <v>2</v>
      </c>
      <c r="X5" s="42">
        <f t="shared" si="1"/>
        <v>0.1111111111111111</v>
      </c>
      <c r="Z5" s="83" t="s">
        <v>664</v>
      </c>
      <c r="AA5" s="84"/>
      <c r="AB5" s="86">
        <f>SUM(W4,W6)</f>
        <v>4</v>
      </c>
      <c r="AC5" s="87">
        <f t="shared" si="2"/>
        <v>0.22222222222222221</v>
      </c>
    </row>
    <row r="6" spans="2:29">
      <c r="H6" s="46" t="s">
        <v>602</v>
      </c>
      <c r="I6" s="39">
        <f>COUNTIF(Hory!$AL$9,"2/4")</f>
        <v>0</v>
      </c>
      <c r="J6">
        <f>COUNTIF(Zavolej!$AL$10:$AL$11,"2/4")</f>
        <v>0</v>
      </c>
      <c r="K6" s="39">
        <f>COUNTIF(Ještě_jaro!$AL$4:$AL$5,"2/4")</f>
        <v>0</v>
      </c>
      <c r="L6">
        <f>COUNTIF(Ženy_na_ohnici!$AL$9,"2/4")</f>
        <v>1</v>
      </c>
      <c r="M6" s="39">
        <v>0</v>
      </c>
      <c r="N6">
        <f>COUNTIF(Na_hřbitově!$AL$9:$AL$10,"2/4")</f>
        <v>1</v>
      </c>
      <c r="O6" s="39">
        <v>0</v>
      </c>
      <c r="P6">
        <f>COUNTIF(Píseň_o_studni!$AL$4:$AL$5,"2/4")</f>
        <v>0</v>
      </c>
      <c r="Q6" s="39">
        <f>COUNTIF(Spáči_mluví_ze_sna!$AL$4:$AL$7,"2/4")</f>
        <v>0</v>
      </c>
      <c r="R6">
        <f>COUNTIF(Kvetoucí_mohyla!$AL$9:$AL$10,"2/4")</f>
        <v>0</v>
      </c>
      <c r="S6" s="39">
        <f>COUNTIF(Slunovrat!$AL$9,"2/4")</f>
        <v>0</v>
      </c>
      <c r="T6" s="33">
        <f>COUNTIF(Hromnice_hoří!$AL$4:$AL$5,"2/4")</f>
        <v>0</v>
      </c>
      <c r="V6" s="46" t="s">
        <v>602</v>
      </c>
      <c r="W6" s="32">
        <f t="shared" si="0"/>
        <v>2</v>
      </c>
      <c r="X6" s="42">
        <f t="shared" si="1"/>
        <v>0.1111111111111111</v>
      </c>
    </row>
    <row r="7" spans="2:29">
      <c r="H7" s="46" t="s">
        <v>606</v>
      </c>
      <c r="I7" s="39">
        <f>COUNTIF(Hory!$AL$9,"3/1")</f>
        <v>0</v>
      </c>
      <c r="J7">
        <f>COUNTIF(Zavolej!$AL$10:$AL$11,"3/1")</f>
        <v>1</v>
      </c>
      <c r="K7" s="39">
        <f>COUNTIF(Ještě_jaro!$AL$4:$AL$5,"3/1")</f>
        <v>0</v>
      </c>
      <c r="L7">
        <f>COUNTIF(Ženy_na_ohnici!$AL$9,"3/1")</f>
        <v>0</v>
      </c>
      <c r="M7" s="39">
        <v>0</v>
      </c>
      <c r="N7">
        <f>COUNTIF(Na_hřbitově!$AL$9:$AL$10,"3/1")</f>
        <v>0</v>
      </c>
      <c r="O7" s="39">
        <v>0</v>
      </c>
      <c r="P7">
        <f>COUNTIF(Píseň_o_studni!$AL$4:$AL$5,"3/1")</f>
        <v>0</v>
      </c>
      <c r="Q7" s="39">
        <f>COUNTIF(Spáči_mluví_ze_sna!$AL$4:$AL$7,"3/1")</f>
        <v>1</v>
      </c>
      <c r="R7">
        <f>COUNTIF(Kvetoucí_mohyla!$AL$9:$AL$10,"3/1")</f>
        <v>0</v>
      </c>
      <c r="S7" s="39">
        <f>COUNTIF(Slunovrat!$AL$9,"3/1")</f>
        <v>0</v>
      </c>
      <c r="T7" s="33">
        <f>COUNTIF(Hromnice_hoří!$AL$4:$AL$5,"3/1")</f>
        <v>0</v>
      </c>
      <c r="V7" s="46" t="s">
        <v>606</v>
      </c>
      <c r="W7" s="32">
        <f t="shared" si="0"/>
        <v>2</v>
      </c>
      <c r="X7" s="42">
        <f t="shared" si="1"/>
        <v>0.1111111111111111</v>
      </c>
      <c r="AA7" s="85" t="s">
        <v>665</v>
      </c>
      <c r="AB7" s="27">
        <f>SUM(AB3:AB5)</f>
        <v>18</v>
      </c>
    </row>
    <row r="8" spans="2:29">
      <c r="H8" s="47" t="s">
        <v>607</v>
      </c>
      <c r="I8" s="39">
        <f>COUNTIF(Hory!$AL$9,"3/3")</f>
        <v>0</v>
      </c>
      <c r="J8">
        <f>COUNTIF(Zavolej!$AL$10:$AL$11,"3/3")</f>
        <v>0</v>
      </c>
      <c r="K8" s="39">
        <f>COUNTIF(Ještě_jaro!$AL$4:$AL$5,"3/3")</f>
        <v>1</v>
      </c>
      <c r="L8">
        <f>COUNTIF(Ženy_na_ohnici!$AL$9,"3/3")</f>
        <v>0</v>
      </c>
      <c r="M8" s="39">
        <v>0</v>
      </c>
      <c r="N8">
        <f>COUNTIF(Na_hřbitově!$AL$9:$AL$10,"3/3")</f>
        <v>0</v>
      </c>
      <c r="O8" s="39">
        <v>0</v>
      </c>
      <c r="P8">
        <f>COUNTIF(Píseň_o_studni!$AL$4:$AL$5,"3/3")</f>
        <v>2</v>
      </c>
      <c r="Q8" s="39">
        <f>COUNTIF(Spáči_mluví_ze_sna!$AL$4:$AL$7,"3/3")</f>
        <v>0</v>
      </c>
      <c r="R8">
        <f>COUNTIF(Kvetoucí_mohyla!$AL$9:$AL$10,"3/3")</f>
        <v>0</v>
      </c>
      <c r="S8" s="39">
        <f>COUNTIF(Slunovrat!$AL$9,"3/3")</f>
        <v>0</v>
      </c>
      <c r="T8" s="33">
        <f>COUNTIF(Hromnice_hoří!$AL$4:$AL$5,"3/3")</f>
        <v>0</v>
      </c>
      <c r="V8" s="47" t="s">
        <v>607</v>
      </c>
      <c r="W8" s="32">
        <f t="shared" si="0"/>
        <v>3</v>
      </c>
      <c r="X8" s="42">
        <f t="shared" si="1"/>
        <v>0.16666666666666666</v>
      </c>
    </row>
    <row r="9" spans="2:29">
      <c r="H9" s="46" t="s">
        <v>608</v>
      </c>
      <c r="I9" s="40">
        <f>COUNTIF(Hory!$AL$9,"4/2")</f>
        <v>1</v>
      </c>
      <c r="J9" s="35">
        <f>COUNTIF(Zavolej!$AL$10:$AL$11,"4/2")</f>
        <v>1</v>
      </c>
      <c r="K9" s="40">
        <f>COUNTIF(Ještě_jaro!$AL$4:$AL$5,"4/2")</f>
        <v>0</v>
      </c>
      <c r="L9" s="35">
        <f>COUNTIF(Ženy_na_ohnici!$AL$9,"4/2")</f>
        <v>0</v>
      </c>
      <c r="M9" s="40">
        <v>0</v>
      </c>
      <c r="N9" s="35">
        <f>COUNTIF(Na_hřbitově!$AL$9:$AL$10,"4/2")</f>
        <v>0</v>
      </c>
      <c r="O9" s="40">
        <v>0</v>
      </c>
      <c r="P9" s="35">
        <f>COUNTIF(Píseň_o_studni!$AL$4:$AL$5,"4/2")</f>
        <v>0</v>
      </c>
      <c r="Q9" s="40">
        <f>COUNTIF(Spáči_mluví_ze_sna!$AL$4:$AL$7,"4/2")</f>
        <v>0</v>
      </c>
      <c r="R9" s="35">
        <f>COUNTIF(Kvetoucí_mohyla!$AL$9:$AL$10,"4/2")</f>
        <v>0</v>
      </c>
      <c r="S9" s="40">
        <f>COUNTIF(Slunovrat!$AL$9,"4/2")</f>
        <v>1</v>
      </c>
      <c r="T9" s="36">
        <f>COUNTIF(Hromnice_hoří!$AL$4:$AL$5,"4/2")</f>
        <v>0</v>
      </c>
      <c r="V9" s="46" t="s">
        <v>608</v>
      </c>
      <c r="W9" s="34">
        <f t="shared" si="0"/>
        <v>3</v>
      </c>
      <c r="X9" s="43">
        <f t="shared" si="1"/>
        <v>0.16666666666666666</v>
      </c>
    </row>
    <row r="10" spans="2:29">
      <c r="H10" s="28"/>
      <c r="Z10" s="71" t="s">
        <v>666</v>
      </c>
      <c r="AA10" s="72"/>
      <c r="AB10" s="55" t="s">
        <v>538</v>
      </c>
    </row>
    <row r="11" spans="2:29">
      <c r="V11" s="48" t="s">
        <v>591</v>
      </c>
      <c r="W11" s="27">
        <f>SUM(W3:W9)</f>
        <v>18</v>
      </c>
      <c r="Z11" s="73">
        <v>10</v>
      </c>
      <c r="AA11" s="74"/>
      <c r="AB11" s="54">
        <f>Z11/W11</f>
        <v>0.55555555555555558</v>
      </c>
    </row>
    <row r="14" spans="2:29">
      <c r="B14" s="59" t="s">
        <v>84</v>
      </c>
      <c r="C14" s="60"/>
      <c r="E14" s="63" t="s">
        <v>660</v>
      </c>
      <c r="F14" s="65" t="s">
        <v>661</v>
      </c>
      <c r="I14" s="51" t="s">
        <v>7</v>
      </c>
      <c r="J14" s="51" t="s">
        <v>104</v>
      </c>
      <c r="K14" s="51" t="s">
        <v>138</v>
      </c>
      <c r="L14" s="51" t="s">
        <v>169</v>
      </c>
      <c r="M14" s="51" t="s">
        <v>216</v>
      </c>
      <c r="N14" s="51" t="s">
        <v>244</v>
      </c>
      <c r="O14" s="51" t="s">
        <v>292</v>
      </c>
      <c r="P14" s="51" t="s">
        <v>320</v>
      </c>
      <c r="Q14" s="51" t="s">
        <v>346</v>
      </c>
      <c r="R14" s="51" t="s">
        <v>372</v>
      </c>
      <c r="S14" s="51" t="s">
        <v>421</v>
      </c>
      <c r="T14" s="51" t="s">
        <v>464</v>
      </c>
      <c r="W14" s="52" t="s">
        <v>590</v>
      </c>
      <c r="X14" s="52" t="s">
        <v>538</v>
      </c>
      <c r="AB14" s="88" t="s">
        <v>590</v>
      </c>
      <c r="AC14" s="52" t="s">
        <v>538</v>
      </c>
    </row>
    <row r="15" spans="2:29">
      <c r="B15" s="61"/>
      <c r="C15" s="62"/>
      <c r="E15" s="64"/>
      <c r="F15" s="66"/>
      <c r="H15" s="49" t="s">
        <v>596</v>
      </c>
      <c r="I15" s="37">
        <f>COUNTIF(Hory!$AL$14,"1/1")</f>
        <v>0</v>
      </c>
      <c r="J15" s="30">
        <f>COUNTIF(Zavolej!$AL$16,"1/1")</f>
        <v>0</v>
      </c>
      <c r="K15" s="37">
        <v>0</v>
      </c>
      <c r="L15" s="30">
        <f>COUNTIF(Ženy_na_ohnici!$AL$14,"1/1")</f>
        <v>0</v>
      </c>
      <c r="M15" s="37">
        <v>0</v>
      </c>
      <c r="N15" s="30">
        <v>0</v>
      </c>
      <c r="O15" s="37">
        <v>0</v>
      </c>
      <c r="P15" s="30">
        <f>COUNTIF(Píseň_o_studni!$AL$10:$AL$11,"1/1")</f>
        <v>0</v>
      </c>
      <c r="Q15" s="37">
        <f>COUNTIF(Spáči_mluví_ze_sna!$AL$12:$AL$14,"1/1")</f>
        <v>0</v>
      </c>
      <c r="R15" s="30">
        <f>COUNTIF(Kvetoucí_mohyla!$AL$15:$AL$17,"1/1")</f>
        <v>2</v>
      </c>
      <c r="S15" s="37">
        <v>0</v>
      </c>
      <c r="T15" s="31">
        <f>COUNTIF(Hromnice_hoří!$AL$10:$AL$12,"1/1")</f>
        <v>0</v>
      </c>
      <c r="V15" s="49" t="s">
        <v>596</v>
      </c>
      <c r="W15" s="29">
        <f>SUM(I15:T15)</f>
        <v>2</v>
      </c>
      <c r="X15" s="41">
        <f>W15/$W$11</f>
        <v>0.1111111111111111</v>
      </c>
      <c r="Z15" s="89" t="s">
        <v>662</v>
      </c>
      <c r="AA15" s="90"/>
      <c r="AB15" s="34">
        <f>SUM(W15,W17,W20)</f>
        <v>8</v>
      </c>
      <c r="AC15" s="87">
        <f>AB15/$AB$19</f>
        <v>0.5714285714285714</v>
      </c>
    </row>
    <row r="16" spans="2:29">
      <c r="E16" s="67">
        <f>W23</f>
        <v>14</v>
      </c>
      <c r="F16" s="69">
        <f>E16/145</f>
        <v>9.6551724137931033E-2</v>
      </c>
      <c r="H16" s="49" t="s">
        <v>598</v>
      </c>
      <c r="I16" s="39">
        <f>COUNTIF(Hory!$AL$14,"1/3")</f>
        <v>0</v>
      </c>
      <c r="J16">
        <f>COUNTIF(Zavolej!$AL$16,"1/3")</f>
        <v>0</v>
      </c>
      <c r="K16" s="39">
        <v>0</v>
      </c>
      <c r="L16">
        <f>COUNTIF(Ženy_na_ohnici!$AL$14,"1/3")</f>
        <v>0</v>
      </c>
      <c r="M16" s="39">
        <v>0</v>
      </c>
      <c r="N16">
        <v>0</v>
      </c>
      <c r="O16" s="39">
        <v>0</v>
      </c>
      <c r="P16">
        <f>COUNTIF(Píseň_o_studni!$AL$10:$AL$11,"1/3")</f>
        <v>0</v>
      </c>
      <c r="Q16" s="39">
        <f>COUNTIF(Spáči_mluví_ze_sna!$AL$12:$AL$14,"1/3")</f>
        <v>1</v>
      </c>
      <c r="R16">
        <f>COUNTIF(Kvetoucí_mohyla!$AL$15:$AL$17,"1/3")</f>
        <v>0</v>
      </c>
      <c r="S16" s="39">
        <v>0</v>
      </c>
      <c r="T16" s="33">
        <f>COUNTIF(Hromnice_hoří!$AL$10:$AL$12,"1/3")</f>
        <v>0</v>
      </c>
      <c r="V16" s="49" t="s">
        <v>598</v>
      </c>
      <c r="W16" s="32">
        <f t="shared" ref="W16:W21" si="3">SUM(I16:T16)</f>
        <v>1</v>
      </c>
      <c r="X16" s="42">
        <f t="shared" ref="X16:X21" si="4">W16/$W$11</f>
        <v>5.5555555555555552E-2</v>
      </c>
      <c r="Z16" s="89" t="s">
        <v>663</v>
      </c>
      <c r="AA16" s="90"/>
      <c r="AB16" s="86">
        <f>SUM(W19,W21)</f>
        <v>4</v>
      </c>
      <c r="AC16" s="87">
        <f t="shared" ref="AC16:AC17" si="5">AB16/$AB$19</f>
        <v>0.2857142857142857</v>
      </c>
    </row>
    <row r="17" spans="5:29">
      <c r="E17" s="68"/>
      <c r="F17" s="70"/>
      <c r="H17" s="49" t="s">
        <v>600</v>
      </c>
      <c r="I17" s="39">
        <f>COUNTIF(Hory!$AL$14,"2/2")</f>
        <v>0</v>
      </c>
      <c r="J17">
        <f>COUNTIF(Zavolej!$AL$16,"2/2")</f>
        <v>0</v>
      </c>
      <c r="K17" s="39">
        <v>0</v>
      </c>
      <c r="L17">
        <f>COUNTIF(Ženy_na_ohnici!$AL$14,"2/2")</f>
        <v>0</v>
      </c>
      <c r="M17" s="39">
        <v>0</v>
      </c>
      <c r="N17">
        <v>0</v>
      </c>
      <c r="O17" s="39">
        <v>0</v>
      </c>
      <c r="P17">
        <f>COUNTIF(Píseň_o_studni!$AL$10:$AL$11,"2/2")</f>
        <v>0</v>
      </c>
      <c r="Q17" s="39">
        <f>COUNTIF(Spáči_mluví_ze_sna!$AL$12:$AL$14,"2/2")</f>
        <v>0</v>
      </c>
      <c r="R17">
        <f>COUNTIF(Kvetoucí_mohyla!$AL$15:$AL$17,"2/2")</f>
        <v>0</v>
      </c>
      <c r="S17" s="39">
        <v>0</v>
      </c>
      <c r="T17" s="33">
        <f>COUNTIF(Hromnice_hoří!$AL$10:$AL$12,"2/2")</f>
        <v>3</v>
      </c>
      <c r="V17" s="49" t="s">
        <v>600</v>
      </c>
      <c r="W17" s="32">
        <f t="shared" si="3"/>
        <v>3</v>
      </c>
      <c r="X17" s="42">
        <f t="shared" si="4"/>
        <v>0.16666666666666666</v>
      </c>
      <c r="Z17" s="89" t="s">
        <v>664</v>
      </c>
      <c r="AA17" s="90"/>
      <c r="AB17" s="86">
        <f>SUM(W16,W18)</f>
        <v>2</v>
      </c>
      <c r="AC17" s="87">
        <f t="shared" si="5"/>
        <v>0.14285714285714285</v>
      </c>
    </row>
    <row r="18" spans="5:29">
      <c r="H18" s="49" t="s">
        <v>602</v>
      </c>
      <c r="I18" s="39">
        <f>COUNTIF(Hory!$AL$14,"2/4")</f>
        <v>0</v>
      </c>
      <c r="J18">
        <f>COUNTIF(Zavolej!$AL$16,"2/4")</f>
        <v>0</v>
      </c>
      <c r="K18" s="39">
        <v>0</v>
      </c>
      <c r="L18">
        <f>COUNTIF(Ženy_na_ohnici!$AL$14,"2/4")</f>
        <v>1</v>
      </c>
      <c r="M18" s="39">
        <v>0</v>
      </c>
      <c r="N18">
        <v>0</v>
      </c>
      <c r="O18" s="39">
        <v>0</v>
      </c>
      <c r="P18">
        <f>COUNTIF(Píseň_o_studni!$AL$10:$AL$11,"2/4")</f>
        <v>0</v>
      </c>
      <c r="Q18" s="39">
        <f>COUNTIF(Spáči_mluví_ze_sna!$AL$12:$AL$14,"2/4")</f>
        <v>0</v>
      </c>
      <c r="R18">
        <f>COUNTIF(Kvetoucí_mohyla!$AL$15:$AL$17,"2/4")</f>
        <v>0</v>
      </c>
      <c r="S18" s="39">
        <v>0</v>
      </c>
      <c r="T18" s="33">
        <f>COUNTIF(Hromnice_hoří!$AL$10:$AL$12,"2/4")</f>
        <v>0</v>
      </c>
      <c r="V18" s="49" t="s">
        <v>602</v>
      </c>
      <c r="W18" s="32">
        <f t="shared" si="3"/>
        <v>1</v>
      </c>
      <c r="X18" s="42">
        <f t="shared" si="4"/>
        <v>5.5555555555555552E-2</v>
      </c>
    </row>
    <row r="19" spans="5:29">
      <c r="H19" s="49" t="s">
        <v>606</v>
      </c>
      <c r="I19" s="39">
        <f>COUNTIF(Hory!$AL$14,"3/1")</f>
        <v>0</v>
      </c>
      <c r="J19">
        <f>COUNTIF(Zavolej!$AL$16,"3/1")</f>
        <v>0</v>
      </c>
      <c r="K19" s="39">
        <v>0</v>
      </c>
      <c r="L19">
        <f>COUNTIF(Ženy_na_ohnici!$AL$14,"3/1")</f>
        <v>0</v>
      </c>
      <c r="M19" s="39">
        <v>0</v>
      </c>
      <c r="N19">
        <v>0</v>
      </c>
      <c r="O19" s="39">
        <v>0</v>
      </c>
      <c r="P19">
        <f>COUNTIF(Píseň_o_studni!$AL$10:$AL$11,"3/1")</f>
        <v>0</v>
      </c>
      <c r="Q19" s="39">
        <f>COUNTIF(Spáči_mluví_ze_sna!$AL$12:$AL$14,"3/1")</f>
        <v>2</v>
      </c>
      <c r="R19">
        <f>COUNTIF(Kvetoucí_mohyla!$AL$15:$AL$17,"3/1")</f>
        <v>0</v>
      </c>
      <c r="S19" s="39">
        <v>0</v>
      </c>
      <c r="T19" s="33">
        <f>COUNTIF(Hromnice_hoří!$AL$10:$AL$12,"3/1")</f>
        <v>0</v>
      </c>
      <c r="V19" s="49" t="s">
        <v>606</v>
      </c>
      <c r="W19" s="32">
        <f t="shared" si="3"/>
        <v>2</v>
      </c>
      <c r="X19" s="42">
        <f t="shared" si="4"/>
        <v>0.1111111111111111</v>
      </c>
      <c r="AA19" s="91" t="s">
        <v>665</v>
      </c>
      <c r="AB19" s="27">
        <f>SUM(AB15:AB17)</f>
        <v>14</v>
      </c>
    </row>
    <row r="20" spans="5:29">
      <c r="H20" s="50" t="s">
        <v>607</v>
      </c>
      <c r="I20" s="39">
        <f>COUNTIF(Hory!$AL$14,"3/3")</f>
        <v>0</v>
      </c>
      <c r="J20">
        <f>COUNTIF(Zavolej!$AL$16,"3/3")</f>
        <v>0</v>
      </c>
      <c r="K20" s="39">
        <v>0</v>
      </c>
      <c r="L20">
        <f>COUNTIF(Ženy_na_ohnici!$AL$14,"3/3")</f>
        <v>0</v>
      </c>
      <c r="M20" s="39">
        <v>0</v>
      </c>
      <c r="N20">
        <v>0</v>
      </c>
      <c r="O20" s="39">
        <v>0</v>
      </c>
      <c r="P20">
        <f>COUNTIF(Píseň_o_studni!$AL$10:$AL$11,"3/3")</f>
        <v>2</v>
      </c>
      <c r="Q20" s="39">
        <f>COUNTIF(Spáči_mluví_ze_sna!$AL$12:$AL$14,"3/3")</f>
        <v>0</v>
      </c>
      <c r="R20">
        <f>COUNTIF(Kvetoucí_mohyla!$AL$15:$AL$17,"3/3")</f>
        <v>1</v>
      </c>
      <c r="S20" s="39">
        <v>0</v>
      </c>
      <c r="T20" s="33">
        <f>COUNTIF(Hromnice_hoří!$AL$10:$AL$12,"3/3")</f>
        <v>0</v>
      </c>
      <c r="V20" s="50" t="s">
        <v>607</v>
      </c>
      <c r="W20" s="32">
        <f t="shared" si="3"/>
        <v>3</v>
      </c>
      <c r="X20" s="42">
        <f t="shared" si="4"/>
        <v>0.16666666666666666</v>
      </c>
    </row>
    <row r="21" spans="5:29">
      <c r="H21" s="49" t="s">
        <v>608</v>
      </c>
      <c r="I21" s="40">
        <f>COUNTIF(Hory!$AL$14,"4/2")</f>
        <v>1</v>
      </c>
      <c r="J21" s="35">
        <f>COUNTIF(Zavolej!$AL$16,"4/2")</f>
        <v>1</v>
      </c>
      <c r="K21" s="40">
        <v>0</v>
      </c>
      <c r="L21" s="35">
        <f>COUNTIF(Ženy_na_ohnici!$AL$14,"4/2")</f>
        <v>0</v>
      </c>
      <c r="M21" s="40">
        <v>0</v>
      </c>
      <c r="N21" s="35">
        <v>0</v>
      </c>
      <c r="O21" s="40">
        <v>0</v>
      </c>
      <c r="P21" s="35">
        <f>COUNTIF(Píseň_o_studni!$AL$10:$AL$11,"4/2")</f>
        <v>0</v>
      </c>
      <c r="Q21" s="40">
        <f>COUNTIF(Spáči_mluví_ze_sna!$AL$12:$AL$14,"4/2")</f>
        <v>0</v>
      </c>
      <c r="R21" s="35">
        <f>COUNTIF(Kvetoucí_mohyla!$AL$15:$AL$17,"4/2")</f>
        <v>0</v>
      </c>
      <c r="S21" s="40">
        <v>0</v>
      </c>
      <c r="T21" s="36">
        <f>COUNTIF(Hromnice_hoří!$AL$10:$AL$12,"4/2")</f>
        <v>0</v>
      </c>
      <c r="V21" s="49" t="s">
        <v>608</v>
      </c>
      <c r="W21" s="34">
        <f t="shared" si="3"/>
        <v>2</v>
      </c>
      <c r="X21" s="43">
        <f t="shared" si="4"/>
        <v>0.1111111111111111</v>
      </c>
    </row>
    <row r="23" spans="5:29">
      <c r="V23" s="53" t="s">
        <v>591</v>
      </c>
      <c r="W23" s="27">
        <f>SUM(W15:W21)</f>
        <v>14</v>
      </c>
    </row>
  </sheetData>
  <mergeCells count="18">
    <mergeCell ref="Z15:AA15"/>
    <mergeCell ref="Z16:AA16"/>
    <mergeCell ref="Z17:AA17"/>
    <mergeCell ref="Z10:AA10"/>
    <mergeCell ref="Z11:AA11"/>
    <mergeCell ref="B2:C3"/>
    <mergeCell ref="E2:E3"/>
    <mergeCell ref="F2:F3"/>
    <mergeCell ref="E4:E5"/>
    <mergeCell ref="F4:F5"/>
    <mergeCell ref="Z3:AA3"/>
    <mergeCell ref="Z4:AA4"/>
    <mergeCell ref="Z5:AA5"/>
    <mergeCell ref="B14:C15"/>
    <mergeCell ref="E14:E15"/>
    <mergeCell ref="F14:F15"/>
    <mergeCell ref="E16:E17"/>
    <mergeCell ref="F16:F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42FFC-2B58-408C-AA41-362582F88F89}">
  <dimension ref="B2:AQ27"/>
  <sheetViews>
    <sheetView topLeftCell="AB1" workbookViewId="0">
      <selection activeCell="AQ9" sqref="AQ9"/>
    </sheetView>
  </sheetViews>
  <sheetFormatPr defaultRowHeight="14.45"/>
  <cols>
    <col min="3" max="3" width="9.7109375" bestFit="1" customWidth="1"/>
    <col min="5" max="5" width="14.140625" bestFit="1" customWidth="1"/>
    <col min="6" max="6" width="40.42578125" bestFit="1" customWidth="1"/>
    <col min="7" max="7" width="9.42578125" bestFit="1" customWidth="1"/>
    <col min="8" max="8" width="23.42578125" bestFit="1" customWidth="1"/>
    <col min="9" max="9" width="15.42578125" bestFit="1" customWidth="1"/>
    <col min="11" max="11" width="13.7109375" bestFit="1" customWidth="1"/>
    <col min="12" max="12" width="9.42578125" bestFit="1" customWidth="1"/>
    <col min="13" max="14" width="13.85546875" bestFit="1" customWidth="1"/>
    <col min="15" max="15" width="10.5703125" bestFit="1" customWidth="1"/>
    <col min="16" max="16" width="17.5703125" customWidth="1"/>
    <col min="17" max="17" width="23.5703125" bestFit="1" customWidth="1"/>
    <col min="18" max="18" width="10.5703125" customWidth="1"/>
    <col min="19" max="19" width="31.7109375" bestFit="1" customWidth="1"/>
    <col min="20" max="20" width="32.7109375" bestFit="1" customWidth="1"/>
    <col min="21" max="21" width="32.7109375" customWidth="1"/>
    <col min="22" max="23" width="25" bestFit="1" customWidth="1"/>
    <col min="24" max="24" width="25.7109375" bestFit="1" customWidth="1"/>
    <col min="25" max="25" width="26.7109375" bestFit="1" customWidth="1"/>
    <col min="26" max="26" width="31.28515625" bestFit="1" customWidth="1"/>
    <col min="28" max="28" width="21.5703125" customWidth="1"/>
    <col min="29" max="29" width="27.140625" customWidth="1"/>
    <col min="30" max="30" width="19.85546875" customWidth="1"/>
    <col min="31" max="31" width="18.42578125" customWidth="1"/>
    <col min="32" max="32" width="18.5703125" customWidth="1"/>
    <col min="33" max="33" width="18" customWidth="1"/>
    <col min="34" max="34" width="26.140625" customWidth="1"/>
    <col min="36" max="36" width="30.140625" customWidth="1"/>
    <col min="37" max="37" width="29.28515625" customWidth="1"/>
    <col min="38" max="38" width="22.7109375" customWidth="1"/>
    <col min="39" max="39" width="31.140625" customWidth="1"/>
    <col min="40" max="40" width="29.85546875" customWidth="1"/>
    <col min="41" max="41" width="27.7109375" customWidth="1"/>
    <col min="42" max="42" width="29.85546875" customWidth="1"/>
    <col min="43" max="43" width="12.7109375" customWidth="1"/>
  </cols>
  <sheetData>
    <row r="2" spans="2:43">
      <c r="B2" s="1" t="s">
        <v>7</v>
      </c>
    </row>
    <row r="3" spans="2:43"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  <c r="P3" t="s">
        <v>21</v>
      </c>
      <c r="Q3" t="s">
        <v>22</v>
      </c>
      <c r="R3" t="s">
        <v>10</v>
      </c>
      <c r="S3" t="s">
        <v>23</v>
      </c>
      <c r="T3" t="s">
        <v>24</v>
      </c>
      <c r="U3" t="s">
        <v>25</v>
      </c>
      <c r="V3" t="s">
        <v>26</v>
      </c>
      <c r="W3" t="s">
        <v>27</v>
      </c>
      <c r="X3" t="s">
        <v>28</v>
      </c>
      <c r="Y3" t="s">
        <v>29</v>
      </c>
      <c r="Z3" t="s">
        <v>30</v>
      </c>
    </row>
    <row r="4" spans="2:43">
      <c r="B4" t="s">
        <v>31</v>
      </c>
      <c r="C4">
        <v>5</v>
      </c>
      <c r="D4" t="s">
        <v>32</v>
      </c>
      <c r="E4" t="s">
        <v>33</v>
      </c>
      <c r="F4" t="s">
        <v>33</v>
      </c>
      <c r="G4" t="s">
        <v>34</v>
      </c>
      <c r="H4" t="str">
        <f>IF(G4="alexandrín",IF(D4="Ž","ženský","mužský"),"–")</f>
        <v>–</v>
      </c>
      <c r="I4" t="str">
        <f>IF(G4="alexandrín",_xlfn.CONCAT(G4,H4),"–")</f>
        <v>–</v>
      </c>
      <c r="K4" t="s">
        <v>35</v>
      </c>
      <c r="L4" t="s">
        <v>36</v>
      </c>
      <c r="M4" t="s">
        <v>37</v>
      </c>
      <c r="N4" t="s">
        <v>38</v>
      </c>
      <c r="O4" t="s">
        <v>39</v>
      </c>
      <c r="P4">
        <v>2</v>
      </c>
      <c r="Q4" t="s">
        <v>40</v>
      </c>
      <c r="R4" t="s">
        <v>32</v>
      </c>
      <c r="S4">
        <v>4</v>
      </c>
      <c r="T4">
        <v>2</v>
      </c>
      <c r="U4" t="str">
        <f>_xlfn.CONCAT(S4,"/",T4)</f>
        <v>4/2</v>
      </c>
      <c r="V4" t="s">
        <v>41</v>
      </c>
      <c r="W4" t="s">
        <v>42</v>
      </c>
      <c r="X4" t="str">
        <f>_xlfn.CONCAT(V4,"+",W4)</f>
        <v>Adj+Pron</v>
      </c>
      <c r="Y4">
        <v>2</v>
      </c>
      <c r="Z4" t="s">
        <v>43</v>
      </c>
    </row>
    <row r="5" spans="2:43">
      <c r="B5" t="s">
        <v>44</v>
      </c>
      <c r="C5">
        <v>5</v>
      </c>
      <c r="D5" t="s">
        <v>45</v>
      </c>
      <c r="E5">
        <v>1</v>
      </c>
      <c r="F5" t="s">
        <v>33</v>
      </c>
      <c r="G5" t="str">
        <f t="shared" ref="G5:G27" si="0">IF(OR(F5="x",ISBLANK(F5)),_xlfn.CONCAT(B5,C5,D5),"alexandrín")</f>
        <v>J5M</v>
      </c>
      <c r="H5" t="str">
        <f t="shared" ref="H5:H27" si="1">IF(G5="alexandrín",IF(D5="Ž","ženský","mužský"),"–")</f>
        <v>–</v>
      </c>
      <c r="I5" t="str">
        <f t="shared" ref="I5:I27" si="2">IF(G5="alexandrín",_xlfn.CONCAT(G5,H5),"–")</f>
        <v>–</v>
      </c>
      <c r="L5" t="s">
        <v>46</v>
      </c>
      <c r="M5" t="s">
        <v>47</v>
      </c>
      <c r="N5" t="s">
        <v>48</v>
      </c>
      <c r="O5" t="s">
        <v>49</v>
      </c>
      <c r="P5">
        <v>1</v>
      </c>
      <c r="Q5" t="s">
        <v>40</v>
      </c>
      <c r="R5" t="s">
        <v>45</v>
      </c>
      <c r="S5">
        <v>3</v>
      </c>
      <c r="T5">
        <v>1</v>
      </c>
      <c r="U5" t="str">
        <f t="shared" ref="U5:U15" si="3">_xlfn.CONCAT(S5,"/",T5)</f>
        <v>3/1</v>
      </c>
      <c r="V5" t="s">
        <v>41</v>
      </c>
      <c r="W5" t="s">
        <v>50</v>
      </c>
      <c r="X5" t="str">
        <f t="shared" ref="X5:X15" si="4">_xlfn.CONCAT(V5,"+",W5)</f>
        <v>Adj+N</v>
      </c>
      <c r="Y5">
        <v>2</v>
      </c>
    </row>
    <row r="6" spans="2:43">
      <c r="B6" t="s">
        <v>31</v>
      </c>
      <c r="C6">
        <v>5</v>
      </c>
      <c r="D6" t="s">
        <v>32</v>
      </c>
      <c r="E6" t="s">
        <v>33</v>
      </c>
      <c r="F6" t="s">
        <v>33</v>
      </c>
      <c r="G6" t="s">
        <v>51</v>
      </c>
      <c r="H6" t="str">
        <f t="shared" si="1"/>
        <v>–</v>
      </c>
      <c r="I6" t="str">
        <f t="shared" si="2"/>
        <v>–</v>
      </c>
      <c r="K6" t="s">
        <v>35</v>
      </c>
      <c r="L6" t="s">
        <v>36</v>
      </c>
      <c r="M6" t="s">
        <v>52</v>
      </c>
      <c r="N6" t="s">
        <v>53</v>
      </c>
      <c r="O6" t="s">
        <v>54</v>
      </c>
      <c r="P6">
        <v>2</v>
      </c>
      <c r="Q6" t="s">
        <v>40</v>
      </c>
      <c r="R6" t="s">
        <v>32</v>
      </c>
      <c r="S6">
        <v>2</v>
      </c>
      <c r="T6">
        <v>2</v>
      </c>
      <c r="U6" t="str">
        <f t="shared" si="3"/>
        <v>2/2</v>
      </c>
      <c r="V6" t="s">
        <v>50</v>
      </c>
      <c r="W6" t="s">
        <v>50</v>
      </c>
      <c r="X6" t="str">
        <f t="shared" si="4"/>
        <v>N+N</v>
      </c>
      <c r="Y6">
        <v>1</v>
      </c>
    </row>
    <row r="7" spans="2:43" ht="15">
      <c r="B7" t="s">
        <v>44</v>
      </c>
      <c r="C7">
        <v>6</v>
      </c>
      <c r="D7" t="s">
        <v>45</v>
      </c>
      <c r="E7">
        <v>1</v>
      </c>
      <c r="F7">
        <v>0</v>
      </c>
      <c r="G7" t="str">
        <f t="shared" si="0"/>
        <v>alexandrín</v>
      </c>
      <c r="H7" t="str">
        <f t="shared" si="1"/>
        <v>mužský</v>
      </c>
      <c r="I7" t="str">
        <f>IF(G7="alexandrín",_xlfn.CONCAT(G7,H7),"–")</f>
        <v>alexandrínmužský</v>
      </c>
      <c r="L7" t="s">
        <v>46</v>
      </c>
      <c r="M7" t="s">
        <v>55</v>
      </c>
      <c r="N7" t="s">
        <v>56</v>
      </c>
      <c r="O7" t="s">
        <v>57</v>
      </c>
      <c r="P7">
        <v>1</v>
      </c>
      <c r="Q7" t="s">
        <v>58</v>
      </c>
      <c r="R7" t="s">
        <v>45</v>
      </c>
      <c r="S7">
        <v>3</v>
      </c>
      <c r="T7">
        <v>1</v>
      </c>
      <c r="U7" t="str">
        <f t="shared" si="3"/>
        <v>3/1</v>
      </c>
      <c r="V7" t="s">
        <v>50</v>
      </c>
      <c r="W7" t="s">
        <v>50</v>
      </c>
      <c r="X7" t="str">
        <f t="shared" si="4"/>
        <v>N+N</v>
      </c>
      <c r="Y7">
        <v>1</v>
      </c>
      <c r="AB7" s="4" t="s">
        <v>59</v>
      </c>
      <c r="AC7" s="4" t="s">
        <v>60</v>
      </c>
    </row>
    <row r="8" spans="2:43">
      <c r="B8" t="s">
        <v>44</v>
      </c>
      <c r="C8">
        <v>5</v>
      </c>
      <c r="D8" t="s">
        <v>32</v>
      </c>
      <c r="E8">
        <v>1</v>
      </c>
      <c r="F8" t="s">
        <v>33</v>
      </c>
      <c r="G8" t="str">
        <f t="shared" si="0"/>
        <v>J5Ž</v>
      </c>
      <c r="H8" t="str">
        <f t="shared" si="1"/>
        <v>–</v>
      </c>
      <c r="I8" t="str">
        <f t="shared" si="2"/>
        <v>–</v>
      </c>
      <c r="K8" t="s">
        <v>35</v>
      </c>
      <c r="L8" t="s">
        <v>36</v>
      </c>
      <c r="M8" t="s">
        <v>61</v>
      </c>
      <c r="N8" t="s">
        <v>62</v>
      </c>
      <c r="O8" t="s">
        <v>63</v>
      </c>
      <c r="P8">
        <v>2</v>
      </c>
      <c r="Q8" t="s">
        <v>40</v>
      </c>
      <c r="R8" t="s">
        <v>32</v>
      </c>
      <c r="S8">
        <v>4</v>
      </c>
      <c r="T8">
        <v>2</v>
      </c>
      <c r="U8" t="str">
        <f t="shared" si="3"/>
        <v>4/2</v>
      </c>
      <c r="V8" t="s">
        <v>50</v>
      </c>
      <c r="W8" t="s">
        <v>50</v>
      </c>
      <c r="X8" t="str">
        <f t="shared" si="4"/>
        <v>N+N</v>
      </c>
      <c r="Y8">
        <v>1</v>
      </c>
      <c r="AB8" t="s">
        <v>16</v>
      </c>
      <c r="AC8" t="s">
        <v>17</v>
      </c>
      <c r="AD8" t="s">
        <v>18</v>
      </c>
      <c r="AE8" t="s">
        <v>19</v>
      </c>
      <c r="AF8" t="s">
        <v>20</v>
      </c>
      <c r="AG8" t="s">
        <v>21</v>
      </c>
      <c r="AH8" t="s">
        <v>22</v>
      </c>
      <c r="AI8" t="s">
        <v>10</v>
      </c>
      <c r="AJ8" t="s">
        <v>64</v>
      </c>
      <c r="AK8" t="s">
        <v>65</v>
      </c>
      <c r="AL8" t="s">
        <v>66</v>
      </c>
      <c r="AM8" t="s">
        <v>67</v>
      </c>
      <c r="AN8" t="s">
        <v>68</v>
      </c>
      <c r="AO8" t="s">
        <v>28</v>
      </c>
      <c r="AP8" t="s">
        <v>69</v>
      </c>
      <c r="AQ8" t="s">
        <v>70</v>
      </c>
    </row>
    <row r="9" spans="2:43">
      <c r="B9" t="s">
        <v>71</v>
      </c>
      <c r="C9">
        <v>5</v>
      </c>
      <c r="D9" t="s">
        <v>32</v>
      </c>
      <c r="E9" t="s">
        <v>33</v>
      </c>
      <c r="F9" t="s">
        <v>33</v>
      </c>
      <c r="G9" t="str">
        <f t="shared" si="0"/>
        <v>T5Ž</v>
      </c>
      <c r="H9" t="str">
        <f t="shared" si="1"/>
        <v>–</v>
      </c>
      <c r="I9" t="str">
        <f t="shared" si="2"/>
        <v>–</v>
      </c>
      <c r="L9" t="s">
        <v>46</v>
      </c>
      <c r="M9" t="s">
        <v>72</v>
      </c>
      <c r="N9" t="s">
        <v>73</v>
      </c>
      <c r="O9" t="s">
        <v>74</v>
      </c>
      <c r="P9">
        <v>1</v>
      </c>
      <c r="Q9" t="s">
        <v>40</v>
      </c>
      <c r="R9" t="s">
        <v>45</v>
      </c>
      <c r="S9">
        <v>3</v>
      </c>
      <c r="T9">
        <v>1</v>
      </c>
      <c r="U9" t="str">
        <f t="shared" si="3"/>
        <v>3/1</v>
      </c>
      <c r="V9" t="s">
        <v>50</v>
      </c>
      <c r="W9" t="s">
        <v>75</v>
      </c>
      <c r="X9" t="str">
        <f t="shared" si="4"/>
        <v>N+V</v>
      </c>
      <c r="Y9">
        <v>2</v>
      </c>
      <c r="AB9" t="s">
        <v>35</v>
      </c>
      <c r="AC9" t="s">
        <v>36</v>
      </c>
      <c r="AD9" t="s">
        <v>37</v>
      </c>
      <c r="AE9" t="s">
        <v>76</v>
      </c>
      <c r="AF9" t="s">
        <v>39</v>
      </c>
      <c r="AG9">
        <v>2</v>
      </c>
      <c r="AH9" t="s">
        <v>40</v>
      </c>
      <c r="AI9" t="s">
        <v>32</v>
      </c>
      <c r="AJ9">
        <v>4</v>
      </c>
      <c r="AK9">
        <v>2</v>
      </c>
      <c r="AL9" t="str">
        <f>_xlfn.CONCAT(AJ9,"/",AK9)</f>
        <v>4/2</v>
      </c>
      <c r="AM9" t="s">
        <v>41</v>
      </c>
      <c r="AN9" t="s">
        <v>42</v>
      </c>
      <c r="AO9" t="str">
        <f>_xlfn.CONCAT(AM9,"+",AN9)</f>
        <v>Adj+Pron</v>
      </c>
      <c r="AP9">
        <v>2</v>
      </c>
      <c r="AQ9" t="s">
        <v>77</v>
      </c>
    </row>
    <row r="10" spans="2:43">
      <c r="B10" t="s">
        <v>44</v>
      </c>
      <c r="C10">
        <v>5</v>
      </c>
      <c r="D10" t="s">
        <v>32</v>
      </c>
      <c r="E10">
        <v>1</v>
      </c>
      <c r="F10" t="s">
        <v>33</v>
      </c>
      <c r="G10" t="str">
        <f t="shared" si="0"/>
        <v>J5Ž</v>
      </c>
      <c r="H10" t="str">
        <f t="shared" si="1"/>
        <v>–</v>
      </c>
      <c r="I10" t="str">
        <f t="shared" si="2"/>
        <v>–</v>
      </c>
      <c r="K10" t="s">
        <v>35</v>
      </c>
      <c r="L10" t="s">
        <v>36</v>
      </c>
      <c r="M10" t="s">
        <v>37</v>
      </c>
      <c r="N10" t="s">
        <v>78</v>
      </c>
      <c r="O10" t="s">
        <v>79</v>
      </c>
      <c r="P10">
        <v>2</v>
      </c>
      <c r="Q10" t="s">
        <v>40</v>
      </c>
      <c r="R10" t="s">
        <v>32</v>
      </c>
      <c r="S10">
        <v>4</v>
      </c>
      <c r="T10">
        <v>2</v>
      </c>
      <c r="U10" t="str">
        <f t="shared" si="3"/>
        <v>4/2</v>
      </c>
      <c r="V10" t="s">
        <v>50</v>
      </c>
      <c r="W10" t="s">
        <v>41</v>
      </c>
      <c r="X10" t="str">
        <f t="shared" si="4"/>
        <v>N+Adj</v>
      </c>
      <c r="Y10">
        <v>2</v>
      </c>
    </row>
    <row r="11" spans="2:43">
      <c r="B11" t="s">
        <v>44</v>
      </c>
      <c r="C11">
        <v>6</v>
      </c>
      <c r="D11" t="s">
        <v>45</v>
      </c>
      <c r="E11">
        <v>1</v>
      </c>
      <c r="F11">
        <v>1</v>
      </c>
      <c r="G11" t="str">
        <f t="shared" si="0"/>
        <v>alexandrín</v>
      </c>
      <c r="H11" t="str">
        <f t="shared" si="1"/>
        <v>mužský</v>
      </c>
      <c r="I11" t="str">
        <f t="shared" si="2"/>
        <v>alexandrínmužský</v>
      </c>
      <c r="L11" t="s">
        <v>46</v>
      </c>
      <c r="M11" t="s">
        <v>47</v>
      </c>
      <c r="N11" t="s">
        <v>80</v>
      </c>
      <c r="O11" t="s">
        <v>49</v>
      </c>
      <c r="P11">
        <v>1</v>
      </c>
      <c r="Q11" t="s">
        <v>40</v>
      </c>
      <c r="R11" t="s">
        <v>45</v>
      </c>
      <c r="S11">
        <v>3</v>
      </c>
      <c r="T11">
        <v>1</v>
      </c>
      <c r="U11" t="str">
        <f t="shared" si="3"/>
        <v>3/1</v>
      </c>
      <c r="V11" t="s">
        <v>41</v>
      </c>
      <c r="W11" t="s">
        <v>50</v>
      </c>
      <c r="X11" t="str">
        <f t="shared" si="4"/>
        <v>Adj+N</v>
      </c>
      <c r="Y11">
        <v>2</v>
      </c>
    </row>
    <row r="12" spans="2:43" ht="15">
      <c r="B12" t="s">
        <v>44</v>
      </c>
      <c r="C12">
        <v>6</v>
      </c>
      <c r="D12" t="s">
        <v>45</v>
      </c>
      <c r="E12">
        <v>0</v>
      </c>
      <c r="F12" t="s">
        <v>33</v>
      </c>
      <c r="G12" t="str">
        <f t="shared" si="0"/>
        <v>J6M</v>
      </c>
      <c r="H12" t="str">
        <f t="shared" si="1"/>
        <v>–</v>
      </c>
      <c r="I12" t="str">
        <f t="shared" si="2"/>
        <v>–</v>
      </c>
      <c r="K12" t="s">
        <v>35</v>
      </c>
      <c r="L12" t="s">
        <v>36</v>
      </c>
      <c r="M12" t="s">
        <v>81</v>
      </c>
      <c r="N12" t="s">
        <v>82</v>
      </c>
      <c r="O12" t="s">
        <v>83</v>
      </c>
      <c r="P12">
        <v>2</v>
      </c>
      <c r="Q12" t="s">
        <v>40</v>
      </c>
      <c r="R12" t="s">
        <v>32</v>
      </c>
      <c r="S12">
        <v>4</v>
      </c>
      <c r="T12">
        <v>2</v>
      </c>
      <c r="U12" t="str">
        <f t="shared" si="3"/>
        <v>4/2</v>
      </c>
      <c r="V12" t="s">
        <v>75</v>
      </c>
      <c r="W12" t="s">
        <v>75</v>
      </c>
      <c r="X12" t="str">
        <f t="shared" si="4"/>
        <v>V+V</v>
      </c>
      <c r="Y12">
        <v>0</v>
      </c>
      <c r="AB12" s="4" t="s">
        <v>84</v>
      </c>
      <c r="AC12" s="4" t="s">
        <v>85</v>
      </c>
    </row>
    <row r="13" spans="2:43">
      <c r="B13" t="s">
        <v>44</v>
      </c>
      <c r="C13">
        <v>5</v>
      </c>
      <c r="D13" t="s">
        <v>45</v>
      </c>
      <c r="E13">
        <v>1</v>
      </c>
      <c r="F13" t="s">
        <v>33</v>
      </c>
      <c r="G13" t="str">
        <f t="shared" si="0"/>
        <v>J5M</v>
      </c>
      <c r="H13" t="str">
        <f t="shared" si="1"/>
        <v>–</v>
      </c>
      <c r="I13" t="str">
        <f t="shared" si="2"/>
        <v>–</v>
      </c>
      <c r="L13" t="s">
        <v>46</v>
      </c>
      <c r="M13" t="s">
        <v>86</v>
      </c>
      <c r="N13" t="s">
        <v>87</v>
      </c>
      <c r="O13" t="s">
        <v>88</v>
      </c>
      <c r="P13">
        <v>1</v>
      </c>
      <c r="Q13" t="s">
        <v>58</v>
      </c>
      <c r="R13" t="s">
        <v>45</v>
      </c>
      <c r="S13">
        <v>1</v>
      </c>
      <c r="T13">
        <v>1</v>
      </c>
      <c r="U13" t="str">
        <f t="shared" si="3"/>
        <v>1/1</v>
      </c>
      <c r="V13" t="s">
        <v>50</v>
      </c>
      <c r="W13" t="s">
        <v>89</v>
      </c>
      <c r="X13" t="str">
        <f t="shared" si="4"/>
        <v>N+Adv</v>
      </c>
      <c r="Y13">
        <v>2</v>
      </c>
      <c r="Z13" t="s">
        <v>90</v>
      </c>
      <c r="AB13" t="s">
        <v>16</v>
      </c>
      <c r="AC13" t="s">
        <v>17</v>
      </c>
      <c r="AD13" t="s">
        <v>18</v>
      </c>
      <c r="AE13" t="s">
        <v>19</v>
      </c>
      <c r="AF13" t="s">
        <v>20</v>
      </c>
      <c r="AG13" t="s">
        <v>21</v>
      </c>
      <c r="AH13" t="s">
        <v>22</v>
      </c>
      <c r="AI13" t="s">
        <v>10</v>
      </c>
      <c r="AJ13" t="s">
        <v>64</v>
      </c>
      <c r="AK13" t="s">
        <v>65</v>
      </c>
      <c r="AL13" t="s">
        <v>66</v>
      </c>
      <c r="AM13" t="s">
        <v>67</v>
      </c>
      <c r="AN13" t="s">
        <v>68</v>
      </c>
      <c r="AO13" t="s">
        <v>28</v>
      </c>
      <c r="AP13" t="s">
        <v>69</v>
      </c>
      <c r="AQ13" t="s">
        <v>91</v>
      </c>
    </row>
    <row r="14" spans="2:43">
      <c r="B14" t="s">
        <v>31</v>
      </c>
      <c r="C14">
        <v>5</v>
      </c>
      <c r="D14" t="s">
        <v>32</v>
      </c>
      <c r="E14" t="s">
        <v>33</v>
      </c>
      <c r="F14" t="s">
        <v>33</v>
      </c>
      <c r="G14" t="s">
        <v>92</v>
      </c>
      <c r="H14" t="str">
        <f t="shared" si="1"/>
        <v>–</v>
      </c>
      <c r="I14" t="str">
        <f t="shared" si="2"/>
        <v>–</v>
      </c>
      <c r="K14" t="s">
        <v>35</v>
      </c>
      <c r="L14" t="s">
        <v>36</v>
      </c>
      <c r="M14" t="s">
        <v>93</v>
      </c>
      <c r="N14" t="s">
        <v>94</v>
      </c>
      <c r="O14" t="s">
        <v>95</v>
      </c>
      <c r="P14">
        <v>2</v>
      </c>
      <c r="Q14" t="s">
        <v>40</v>
      </c>
      <c r="R14" t="s">
        <v>32</v>
      </c>
      <c r="S14">
        <v>4</v>
      </c>
      <c r="T14">
        <v>2</v>
      </c>
      <c r="U14" t="str">
        <f t="shared" si="3"/>
        <v>4/2</v>
      </c>
      <c r="V14" t="s">
        <v>41</v>
      </c>
      <c r="W14" t="s">
        <v>50</v>
      </c>
      <c r="X14" t="str">
        <f t="shared" si="4"/>
        <v>Adj+N</v>
      </c>
      <c r="Y14">
        <v>2</v>
      </c>
      <c r="AB14" t="s">
        <v>35</v>
      </c>
      <c r="AC14" t="s">
        <v>36</v>
      </c>
      <c r="AD14" t="s">
        <v>37</v>
      </c>
      <c r="AE14" t="s">
        <v>76</v>
      </c>
      <c r="AF14" t="s">
        <v>39</v>
      </c>
      <c r="AG14">
        <v>2</v>
      </c>
      <c r="AH14" t="s">
        <v>40</v>
      </c>
      <c r="AI14" t="s">
        <v>32</v>
      </c>
      <c r="AJ14">
        <v>4</v>
      </c>
      <c r="AK14">
        <v>2</v>
      </c>
      <c r="AL14" t="str">
        <f>_xlfn.CONCAT(AJ14,"/",AK14)</f>
        <v>4/2</v>
      </c>
      <c r="AM14" t="s">
        <v>41</v>
      </c>
      <c r="AN14" t="s">
        <v>42</v>
      </c>
      <c r="AO14" t="str">
        <f>_xlfn.CONCAT(AM14,"+",AN14)</f>
        <v>Adj+Pron</v>
      </c>
      <c r="AP14">
        <v>2</v>
      </c>
      <c r="AQ14" t="s">
        <v>77</v>
      </c>
    </row>
    <row r="15" spans="2:43">
      <c r="B15" t="s">
        <v>31</v>
      </c>
      <c r="C15">
        <v>5</v>
      </c>
      <c r="D15" t="s">
        <v>32</v>
      </c>
      <c r="E15" t="s">
        <v>33</v>
      </c>
      <c r="F15" t="s">
        <v>33</v>
      </c>
      <c r="G15" t="s">
        <v>34</v>
      </c>
      <c r="H15" t="str">
        <f t="shared" si="1"/>
        <v>–</v>
      </c>
      <c r="I15" t="str">
        <f t="shared" si="2"/>
        <v>–</v>
      </c>
      <c r="L15" t="s">
        <v>46</v>
      </c>
      <c r="M15" t="s">
        <v>96</v>
      </c>
      <c r="N15" t="s">
        <v>97</v>
      </c>
      <c r="O15" t="s">
        <v>98</v>
      </c>
      <c r="P15">
        <v>1</v>
      </c>
      <c r="Q15" t="s">
        <v>58</v>
      </c>
      <c r="R15" t="s">
        <v>99</v>
      </c>
      <c r="S15">
        <v>3</v>
      </c>
      <c r="T15">
        <v>1</v>
      </c>
      <c r="U15" t="str">
        <f t="shared" si="3"/>
        <v>3/1</v>
      </c>
      <c r="V15" t="s">
        <v>75</v>
      </c>
      <c r="W15" t="s">
        <v>50</v>
      </c>
      <c r="X15" t="str">
        <f t="shared" si="4"/>
        <v>V+N</v>
      </c>
      <c r="Y15">
        <v>2</v>
      </c>
    </row>
    <row r="16" spans="2:43">
      <c r="B16" t="s">
        <v>31</v>
      </c>
      <c r="C16">
        <v>5</v>
      </c>
      <c r="D16" t="s">
        <v>32</v>
      </c>
      <c r="E16" t="s">
        <v>33</v>
      </c>
      <c r="F16" t="s">
        <v>33</v>
      </c>
      <c r="G16" t="s">
        <v>34</v>
      </c>
      <c r="H16" t="str">
        <f t="shared" si="1"/>
        <v>–</v>
      </c>
      <c r="I16" t="str">
        <f t="shared" si="2"/>
        <v>–</v>
      </c>
    </row>
    <row r="17" spans="2:9">
      <c r="B17" t="s">
        <v>44</v>
      </c>
      <c r="C17">
        <v>5</v>
      </c>
      <c r="D17" t="s">
        <v>45</v>
      </c>
      <c r="E17">
        <v>1</v>
      </c>
      <c r="F17" t="s">
        <v>33</v>
      </c>
      <c r="G17" t="str">
        <f t="shared" si="0"/>
        <v>J5M</v>
      </c>
      <c r="H17" t="str">
        <f t="shared" si="1"/>
        <v>–</v>
      </c>
      <c r="I17" t="str">
        <f t="shared" si="2"/>
        <v>–</v>
      </c>
    </row>
    <row r="18" spans="2:9">
      <c r="B18" t="s">
        <v>44</v>
      </c>
      <c r="C18">
        <v>6</v>
      </c>
      <c r="D18" t="s">
        <v>45</v>
      </c>
      <c r="E18">
        <v>0</v>
      </c>
      <c r="F18">
        <v>2</v>
      </c>
      <c r="G18" t="str">
        <f t="shared" si="0"/>
        <v>alexandrín</v>
      </c>
      <c r="H18" t="str">
        <f t="shared" si="1"/>
        <v>mužský</v>
      </c>
      <c r="I18" t="str">
        <f t="shared" si="2"/>
        <v>alexandrínmužský</v>
      </c>
    </row>
    <row r="19" spans="2:9">
      <c r="B19" t="s">
        <v>44</v>
      </c>
      <c r="C19">
        <v>5</v>
      </c>
      <c r="D19" t="s">
        <v>32</v>
      </c>
      <c r="E19">
        <v>0</v>
      </c>
      <c r="F19" t="s">
        <v>33</v>
      </c>
      <c r="G19" t="str">
        <f t="shared" si="0"/>
        <v>J5Ž</v>
      </c>
      <c r="H19" t="str">
        <f t="shared" si="1"/>
        <v>–</v>
      </c>
      <c r="I19" t="str">
        <f t="shared" si="2"/>
        <v>–</v>
      </c>
    </row>
    <row r="20" spans="2:9">
      <c r="B20" t="s">
        <v>44</v>
      </c>
      <c r="C20">
        <v>6</v>
      </c>
      <c r="D20" t="s">
        <v>45</v>
      </c>
      <c r="E20">
        <v>0</v>
      </c>
      <c r="F20">
        <v>0</v>
      </c>
      <c r="G20" t="str">
        <f t="shared" si="0"/>
        <v>alexandrín</v>
      </c>
      <c r="H20" t="str">
        <f t="shared" si="1"/>
        <v>mužský</v>
      </c>
      <c r="I20" t="str">
        <f t="shared" si="2"/>
        <v>alexandrínmužský</v>
      </c>
    </row>
    <row r="21" spans="2:9">
      <c r="B21" t="s">
        <v>44</v>
      </c>
      <c r="C21">
        <v>5</v>
      </c>
      <c r="D21" t="s">
        <v>32</v>
      </c>
      <c r="E21">
        <v>0</v>
      </c>
      <c r="F21" t="s">
        <v>33</v>
      </c>
      <c r="G21" t="str">
        <f t="shared" si="0"/>
        <v>J5Ž</v>
      </c>
      <c r="H21" t="str">
        <f t="shared" si="1"/>
        <v>–</v>
      </c>
      <c r="I21" t="str">
        <f t="shared" si="2"/>
        <v>–</v>
      </c>
    </row>
    <row r="22" spans="2:9">
      <c r="B22" t="s">
        <v>44</v>
      </c>
      <c r="C22">
        <v>5</v>
      </c>
      <c r="D22" t="s">
        <v>45</v>
      </c>
      <c r="E22">
        <v>0</v>
      </c>
      <c r="F22" t="s">
        <v>33</v>
      </c>
      <c r="G22" t="str">
        <f t="shared" si="0"/>
        <v>J5M</v>
      </c>
      <c r="H22" t="str">
        <f t="shared" si="1"/>
        <v>–</v>
      </c>
      <c r="I22" t="str">
        <f t="shared" si="2"/>
        <v>–</v>
      </c>
    </row>
    <row r="23" spans="2:9">
      <c r="B23" t="s">
        <v>44</v>
      </c>
      <c r="C23">
        <v>5</v>
      </c>
      <c r="D23" t="s">
        <v>32</v>
      </c>
      <c r="E23">
        <v>1</v>
      </c>
      <c r="F23" t="s">
        <v>33</v>
      </c>
      <c r="G23" t="str">
        <f>IF(OR(F23="x",ISBLANK(F23)),_xlfn.CONCAT(B23,C23,D23),"alexandrín")</f>
        <v>J5Ž</v>
      </c>
      <c r="H23" t="str">
        <f t="shared" si="1"/>
        <v>–</v>
      </c>
      <c r="I23" t="str">
        <f t="shared" si="2"/>
        <v>–</v>
      </c>
    </row>
    <row r="24" spans="2:9">
      <c r="B24" t="s">
        <v>44</v>
      </c>
      <c r="C24">
        <v>5</v>
      </c>
      <c r="D24" t="s">
        <v>32</v>
      </c>
      <c r="E24">
        <v>1</v>
      </c>
      <c r="F24" t="s">
        <v>33</v>
      </c>
      <c r="G24" t="s">
        <v>100</v>
      </c>
    </row>
    <row r="25" spans="2:9">
      <c r="B25" t="s">
        <v>101</v>
      </c>
      <c r="C25">
        <v>3</v>
      </c>
      <c r="D25" t="s">
        <v>102</v>
      </c>
      <c r="E25" t="s">
        <v>33</v>
      </c>
      <c r="F25" t="s">
        <v>33</v>
      </c>
      <c r="G25" t="str">
        <f t="shared" si="0"/>
        <v>pD3A</v>
      </c>
      <c r="H25" t="str">
        <f t="shared" si="1"/>
        <v>–</v>
      </c>
      <c r="I25" t="str">
        <f t="shared" si="2"/>
        <v>–</v>
      </c>
    </row>
    <row r="26" spans="2:9">
      <c r="B26" t="s">
        <v>31</v>
      </c>
      <c r="C26">
        <v>5</v>
      </c>
      <c r="D26" t="s">
        <v>32</v>
      </c>
      <c r="E26" t="s">
        <v>33</v>
      </c>
      <c r="F26" t="s">
        <v>33</v>
      </c>
      <c r="G26" t="s">
        <v>103</v>
      </c>
      <c r="H26" t="str">
        <f t="shared" si="1"/>
        <v>–</v>
      </c>
      <c r="I26" t="str">
        <f t="shared" si="2"/>
        <v>–</v>
      </c>
    </row>
    <row r="27" spans="2:9">
      <c r="B27" t="s">
        <v>44</v>
      </c>
      <c r="C27">
        <v>6</v>
      </c>
      <c r="D27" t="s">
        <v>45</v>
      </c>
      <c r="E27">
        <v>0</v>
      </c>
      <c r="F27">
        <v>1</v>
      </c>
      <c r="G27" t="str">
        <f t="shared" si="0"/>
        <v>alexandrín</v>
      </c>
      <c r="H27" t="str">
        <f t="shared" si="1"/>
        <v>mužský</v>
      </c>
      <c r="I27" t="str">
        <f t="shared" si="2"/>
        <v>alexandrínmužský</v>
      </c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4CAE4-3CA5-48E9-B513-E084C6B24CC2}">
  <dimension ref="B2:AQ20"/>
  <sheetViews>
    <sheetView topLeftCell="AC1" workbookViewId="0">
      <selection activeCell="AO20" sqref="AO20"/>
    </sheetView>
  </sheetViews>
  <sheetFormatPr defaultRowHeight="14.45"/>
  <cols>
    <col min="3" max="3" width="9.7109375" bestFit="1" customWidth="1"/>
    <col min="5" max="5" width="14.140625" bestFit="1" customWidth="1"/>
    <col min="6" max="6" width="40.42578125" bestFit="1" customWidth="1"/>
    <col min="7" max="7" width="9.42578125" bestFit="1" customWidth="1"/>
    <col min="8" max="8" width="23.42578125" bestFit="1" customWidth="1"/>
    <col min="9" max="9" width="9.5703125" bestFit="1" customWidth="1"/>
    <col min="11" max="11" width="15" customWidth="1"/>
    <col min="12" max="12" width="10" customWidth="1"/>
    <col min="13" max="13" width="14.140625" customWidth="1"/>
    <col min="14" max="14" width="14" customWidth="1"/>
    <col min="15" max="15" width="10.7109375" customWidth="1"/>
    <col min="16" max="16" width="16.85546875" customWidth="1"/>
    <col min="17" max="17" width="24.28515625" customWidth="1"/>
    <col min="18" max="18" width="8.7109375" customWidth="1"/>
    <col min="19" max="19" width="27.7109375" customWidth="1"/>
    <col min="20" max="20" width="27.85546875" customWidth="1"/>
    <col min="21" max="21" width="21.5703125" customWidth="1"/>
    <col min="22" max="22" width="27.42578125" customWidth="1"/>
    <col min="23" max="23" width="27.5703125" customWidth="1"/>
    <col min="24" max="24" width="25.85546875" customWidth="1"/>
    <col min="25" max="25" width="28" customWidth="1"/>
    <col min="26" max="26" width="19.5703125" customWidth="1"/>
    <col min="28" max="28" width="15" bestFit="1" customWidth="1"/>
    <col min="29" max="29" width="32" customWidth="1"/>
    <col min="30" max="31" width="14.85546875" bestFit="1" customWidth="1"/>
    <col min="32" max="32" width="11.5703125" bestFit="1" customWidth="1"/>
    <col min="33" max="33" width="18.28515625" bestFit="1" customWidth="1"/>
    <col min="34" max="34" width="25.42578125" bestFit="1" customWidth="1"/>
    <col min="35" max="35" width="8.42578125" bestFit="1" customWidth="1"/>
    <col min="36" max="37" width="29.42578125" bestFit="1" customWidth="1"/>
    <col min="38" max="38" width="23" bestFit="1" customWidth="1"/>
    <col min="39" max="40" width="29.42578125" bestFit="1" customWidth="1"/>
    <col min="41" max="41" width="28.140625" bestFit="1" customWidth="1"/>
    <col min="42" max="42" width="29.85546875" bestFit="1" customWidth="1"/>
    <col min="43" max="43" width="20.42578125" bestFit="1" customWidth="1"/>
  </cols>
  <sheetData>
    <row r="2" spans="2:43">
      <c r="B2" s="1" t="s">
        <v>104</v>
      </c>
      <c r="AB2" s="4" t="s">
        <v>105</v>
      </c>
      <c r="AC2" s="18" t="s">
        <v>106</v>
      </c>
      <c r="AD2" s="18"/>
    </row>
    <row r="3" spans="2:43"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  <c r="P3" t="s">
        <v>21</v>
      </c>
      <c r="Q3" t="s">
        <v>22</v>
      </c>
      <c r="R3" t="s">
        <v>10</v>
      </c>
      <c r="S3" t="s">
        <v>64</v>
      </c>
      <c r="T3" t="s">
        <v>65</v>
      </c>
      <c r="U3" t="s">
        <v>66</v>
      </c>
      <c r="V3" t="s">
        <v>67</v>
      </c>
      <c r="W3" t="s">
        <v>68</v>
      </c>
      <c r="X3" t="s">
        <v>28</v>
      </c>
      <c r="Y3" t="s">
        <v>69</v>
      </c>
      <c r="Z3" t="s">
        <v>30</v>
      </c>
      <c r="AB3" t="s">
        <v>16</v>
      </c>
      <c r="AC3" t="s">
        <v>17</v>
      </c>
      <c r="AD3" t="s">
        <v>18</v>
      </c>
      <c r="AE3" t="s">
        <v>19</v>
      </c>
      <c r="AF3" t="s">
        <v>20</v>
      </c>
      <c r="AG3" t="s">
        <v>21</v>
      </c>
      <c r="AH3" t="s">
        <v>22</v>
      </c>
      <c r="AI3" t="s">
        <v>10</v>
      </c>
      <c r="AJ3" t="s">
        <v>64</v>
      </c>
      <c r="AK3" t="s">
        <v>65</v>
      </c>
      <c r="AL3" t="s">
        <v>66</v>
      </c>
      <c r="AM3" t="s">
        <v>67</v>
      </c>
      <c r="AN3" t="s">
        <v>68</v>
      </c>
      <c r="AO3" t="s">
        <v>28</v>
      </c>
      <c r="AP3" t="s">
        <v>69</v>
      </c>
      <c r="AQ3" t="s">
        <v>107</v>
      </c>
    </row>
    <row r="4" spans="2:43">
      <c r="B4" t="s">
        <v>44</v>
      </c>
      <c r="C4">
        <v>5</v>
      </c>
      <c r="D4" t="s">
        <v>32</v>
      </c>
      <c r="E4">
        <v>1</v>
      </c>
      <c r="F4" t="s">
        <v>33</v>
      </c>
      <c r="G4" t="str">
        <f>IF(OR(F4="x",ISBLANK(F4)),_xlfn.CONCAT(B4,C4,D4),"alexandrín")</f>
        <v>J5Ž</v>
      </c>
      <c r="H4" t="str">
        <f>IF(G5="alexandrín",IF(D5="Ž","ženský","mužský"),"–")</f>
        <v>–</v>
      </c>
      <c r="I4" t="str">
        <f>IF(G4="alexandrín",_xlfn.CONCAT(G4,H4),"–")</f>
        <v>–</v>
      </c>
      <c r="K4" t="s">
        <v>35</v>
      </c>
      <c r="L4" t="s">
        <v>36</v>
      </c>
      <c r="M4" t="s">
        <v>108</v>
      </c>
      <c r="N4" t="s">
        <v>109</v>
      </c>
      <c r="O4" t="s">
        <v>110</v>
      </c>
      <c r="P4">
        <v>2</v>
      </c>
      <c r="Q4" t="s">
        <v>40</v>
      </c>
      <c r="R4" t="s">
        <v>32</v>
      </c>
      <c r="S4">
        <v>4</v>
      </c>
      <c r="T4">
        <v>2</v>
      </c>
      <c r="U4" t="str">
        <f>_xlfn.CONCAT(S4,"/",T4)</f>
        <v>4/2</v>
      </c>
      <c r="V4" t="s">
        <v>75</v>
      </c>
      <c r="W4" t="s">
        <v>75</v>
      </c>
      <c r="X4" t="str">
        <f>_xlfn.CONCAT(V4,"+",W4)</f>
        <v>V+V</v>
      </c>
      <c r="Y4">
        <v>1</v>
      </c>
      <c r="Z4" t="s">
        <v>43</v>
      </c>
      <c r="AB4" t="s">
        <v>35</v>
      </c>
      <c r="AC4" t="s">
        <v>46</v>
      </c>
      <c r="AD4" t="s">
        <v>111</v>
      </c>
      <c r="AE4" t="s">
        <v>112</v>
      </c>
      <c r="AF4" t="s">
        <v>113</v>
      </c>
      <c r="AG4">
        <v>1</v>
      </c>
      <c r="AH4" t="s">
        <v>40</v>
      </c>
      <c r="AI4" t="s">
        <v>45</v>
      </c>
      <c r="AJ4">
        <v>3</v>
      </c>
      <c r="AK4">
        <v>3</v>
      </c>
      <c r="AL4" t="str">
        <f t="shared" ref="AL4:AL5" si="0">_xlfn.CONCAT(AJ4,"/",AK4)</f>
        <v>3/3</v>
      </c>
      <c r="AM4" t="s">
        <v>41</v>
      </c>
      <c r="AN4" t="s">
        <v>41</v>
      </c>
      <c r="AO4" t="str">
        <f t="shared" ref="AO4:AO5" si="1">_xlfn.CONCAT(AM4,"+",AN4)</f>
        <v>Adj+Adj</v>
      </c>
      <c r="AP4">
        <v>1</v>
      </c>
      <c r="AQ4" t="s">
        <v>114</v>
      </c>
    </row>
    <row r="5" spans="2:43">
      <c r="B5" t="s">
        <v>44</v>
      </c>
      <c r="C5">
        <v>5</v>
      </c>
      <c r="D5" t="s">
        <v>45</v>
      </c>
      <c r="E5">
        <v>0</v>
      </c>
      <c r="F5" t="s">
        <v>33</v>
      </c>
      <c r="G5" t="str">
        <f t="shared" ref="G5:G19" si="2">IF(OR(F5="x",ISBLANK(F5)),_xlfn.CONCAT(B5,C5,D5),"alexandrín")</f>
        <v>J5M</v>
      </c>
      <c r="H5" t="str">
        <f t="shared" ref="H5:H19" si="3">IF(G6="alexandrín",IF(D6="Ž","ženský","mužský"),"–")</f>
        <v>–</v>
      </c>
      <c r="I5" t="str">
        <f t="shared" ref="I5:I19" si="4">IF(G5="alexandrín",_xlfn.CONCAT(G5,H5),"–")</f>
        <v>–</v>
      </c>
      <c r="L5" t="s">
        <v>115</v>
      </c>
      <c r="Z5" s="3"/>
      <c r="AB5" t="s">
        <v>35</v>
      </c>
      <c r="AC5" t="s">
        <v>36</v>
      </c>
      <c r="AD5" t="s">
        <v>116</v>
      </c>
      <c r="AE5" t="s">
        <v>117</v>
      </c>
      <c r="AF5" t="s">
        <v>118</v>
      </c>
      <c r="AG5">
        <v>2</v>
      </c>
      <c r="AH5" t="s">
        <v>40</v>
      </c>
      <c r="AI5" t="s">
        <v>32</v>
      </c>
      <c r="AJ5">
        <v>4</v>
      </c>
      <c r="AK5">
        <v>2</v>
      </c>
      <c r="AL5" t="str">
        <f t="shared" si="0"/>
        <v>4/2</v>
      </c>
      <c r="AM5" t="s">
        <v>75</v>
      </c>
      <c r="AN5" t="s">
        <v>50</v>
      </c>
      <c r="AO5" t="str">
        <f t="shared" si="1"/>
        <v>V+N</v>
      </c>
      <c r="AP5">
        <v>2</v>
      </c>
      <c r="AQ5" s="17" t="s">
        <v>114</v>
      </c>
    </row>
    <row r="6" spans="2:43">
      <c r="B6" t="s">
        <v>44</v>
      </c>
      <c r="C6">
        <v>5</v>
      </c>
      <c r="D6" t="s">
        <v>32</v>
      </c>
      <c r="E6">
        <v>1</v>
      </c>
      <c r="F6" t="s">
        <v>33</v>
      </c>
      <c r="G6" t="str">
        <f t="shared" si="2"/>
        <v>J5Ž</v>
      </c>
      <c r="H6" t="str">
        <f t="shared" si="3"/>
        <v>–</v>
      </c>
      <c r="I6" t="str">
        <f t="shared" si="4"/>
        <v>–</v>
      </c>
      <c r="K6" t="s">
        <v>35</v>
      </c>
      <c r="L6" t="s">
        <v>115</v>
      </c>
      <c r="Z6" s="3"/>
    </row>
    <row r="7" spans="2:43">
      <c r="B7" t="s">
        <v>44</v>
      </c>
      <c r="C7">
        <v>4</v>
      </c>
      <c r="D7" t="s">
        <v>45</v>
      </c>
      <c r="E7">
        <v>1</v>
      </c>
      <c r="F7" t="s">
        <v>33</v>
      </c>
      <c r="G7" t="str">
        <f t="shared" si="2"/>
        <v>J4M</v>
      </c>
      <c r="H7" t="str">
        <f t="shared" si="3"/>
        <v>–</v>
      </c>
      <c r="I7" t="str">
        <f t="shared" si="4"/>
        <v>–</v>
      </c>
      <c r="L7" t="s">
        <v>46</v>
      </c>
      <c r="M7" t="s">
        <v>119</v>
      </c>
      <c r="N7" t="s">
        <v>120</v>
      </c>
      <c r="O7" t="s">
        <v>121</v>
      </c>
      <c r="P7">
        <v>1</v>
      </c>
      <c r="Q7" t="s">
        <v>58</v>
      </c>
      <c r="R7" t="s">
        <v>45</v>
      </c>
      <c r="S7">
        <v>3</v>
      </c>
      <c r="T7">
        <v>1</v>
      </c>
      <c r="U7" t="str">
        <f t="shared" ref="U7:U11" si="5">_xlfn.CONCAT(S7,"/",T7)</f>
        <v>3/1</v>
      </c>
      <c r="V7" t="s">
        <v>75</v>
      </c>
      <c r="W7" t="s">
        <v>50</v>
      </c>
      <c r="X7" t="str">
        <f t="shared" ref="X7:X11" si="6">_xlfn.CONCAT(V7,"+",W7)</f>
        <v>V+N</v>
      </c>
      <c r="Y7">
        <v>2</v>
      </c>
      <c r="Z7" t="s">
        <v>122</v>
      </c>
    </row>
    <row r="8" spans="2:43" ht="15">
      <c r="B8" t="s">
        <v>44</v>
      </c>
      <c r="C8">
        <v>5</v>
      </c>
      <c r="D8" t="s">
        <v>32</v>
      </c>
      <c r="E8">
        <v>1</v>
      </c>
      <c r="F8" t="s">
        <v>33</v>
      </c>
      <c r="G8" t="str">
        <f t="shared" si="2"/>
        <v>J5Ž</v>
      </c>
      <c r="H8" t="str">
        <f t="shared" si="3"/>
        <v>–</v>
      </c>
      <c r="I8" t="str">
        <f t="shared" si="4"/>
        <v>–</v>
      </c>
      <c r="K8" t="s">
        <v>35</v>
      </c>
      <c r="L8" t="s">
        <v>36</v>
      </c>
      <c r="M8" t="s">
        <v>123</v>
      </c>
      <c r="N8" t="s">
        <v>116</v>
      </c>
      <c r="O8" t="s">
        <v>124</v>
      </c>
      <c r="P8">
        <v>2</v>
      </c>
      <c r="Q8" t="s">
        <v>40</v>
      </c>
      <c r="R8" t="s">
        <v>32</v>
      </c>
      <c r="S8">
        <v>4</v>
      </c>
      <c r="T8">
        <v>4</v>
      </c>
      <c r="U8" t="str">
        <f t="shared" si="5"/>
        <v>4/4</v>
      </c>
      <c r="V8" t="s">
        <v>50</v>
      </c>
      <c r="W8" t="s">
        <v>75</v>
      </c>
      <c r="X8" t="str">
        <f t="shared" si="6"/>
        <v>N+V</v>
      </c>
      <c r="Y8">
        <v>2</v>
      </c>
      <c r="AB8" s="4" t="s">
        <v>59</v>
      </c>
      <c r="AC8" s="4" t="s">
        <v>60</v>
      </c>
    </row>
    <row r="9" spans="2:43">
      <c r="B9" t="s">
        <v>44</v>
      </c>
      <c r="C9">
        <v>4</v>
      </c>
      <c r="D9" t="s">
        <v>45</v>
      </c>
      <c r="E9">
        <v>1</v>
      </c>
      <c r="F9" t="s">
        <v>33</v>
      </c>
      <c r="G9" t="str">
        <f t="shared" si="2"/>
        <v>J4M</v>
      </c>
      <c r="H9" t="str">
        <f t="shared" si="3"/>
        <v>–</v>
      </c>
      <c r="I9" t="str">
        <f t="shared" si="4"/>
        <v>–</v>
      </c>
      <c r="L9" t="s">
        <v>46</v>
      </c>
      <c r="M9" t="s">
        <v>125</v>
      </c>
      <c r="N9" t="s">
        <v>126</v>
      </c>
      <c r="O9" t="s">
        <v>127</v>
      </c>
      <c r="P9">
        <v>1</v>
      </c>
      <c r="Q9" t="s">
        <v>58</v>
      </c>
      <c r="R9" t="s">
        <v>45</v>
      </c>
      <c r="S9">
        <v>1</v>
      </c>
      <c r="T9">
        <v>1</v>
      </c>
      <c r="U9" t="str">
        <f t="shared" si="5"/>
        <v>1/1</v>
      </c>
      <c r="V9" t="s">
        <v>50</v>
      </c>
      <c r="W9" t="s">
        <v>50</v>
      </c>
      <c r="X9" t="str">
        <f t="shared" si="6"/>
        <v>N+N</v>
      </c>
      <c r="Y9">
        <v>1</v>
      </c>
      <c r="AB9" t="s">
        <v>16</v>
      </c>
      <c r="AC9" t="s">
        <v>17</v>
      </c>
      <c r="AD9" t="s">
        <v>18</v>
      </c>
      <c r="AE9" t="s">
        <v>19</v>
      </c>
      <c r="AF9" t="s">
        <v>20</v>
      </c>
      <c r="AG9" t="s">
        <v>21</v>
      </c>
      <c r="AH9" t="s">
        <v>22</v>
      </c>
      <c r="AI9" t="s">
        <v>10</v>
      </c>
      <c r="AJ9" t="s">
        <v>64</v>
      </c>
      <c r="AK9" t="s">
        <v>65</v>
      </c>
      <c r="AL9" t="s">
        <v>66</v>
      </c>
      <c r="AM9" t="s">
        <v>67</v>
      </c>
      <c r="AN9" t="s">
        <v>68</v>
      </c>
      <c r="AO9" t="s">
        <v>28</v>
      </c>
      <c r="AP9" t="s">
        <v>69</v>
      </c>
      <c r="AQ9" t="s">
        <v>70</v>
      </c>
    </row>
    <row r="10" spans="2:43">
      <c r="B10" t="s">
        <v>44</v>
      </c>
      <c r="C10">
        <v>5</v>
      </c>
      <c r="D10" t="s">
        <v>32</v>
      </c>
      <c r="E10">
        <v>1</v>
      </c>
      <c r="F10" t="s">
        <v>33</v>
      </c>
      <c r="G10" t="str">
        <f t="shared" si="2"/>
        <v>J5Ž</v>
      </c>
      <c r="H10" t="str">
        <f t="shared" si="3"/>
        <v>–</v>
      </c>
      <c r="I10" t="str">
        <f t="shared" si="4"/>
        <v>–</v>
      </c>
      <c r="K10" t="s">
        <v>35</v>
      </c>
      <c r="L10" t="s">
        <v>36</v>
      </c>
      <c r="M10" t="s">
        <v>128</v>
      </c>
      <c r="N10" t="s">
        <v>129</v>
      </c>
      <c r="O10" t="s">
        <v>130</v>
      </c>
      <c r="P10">
        <v>2</v>
      </c>
      <c r="Q10" t="s">
        <v>40</v>
      </c>
      <c r="R10" t="s">
        <v>32</v>
      </c>
      <c r="S10">
        <v>4</v>
      </c>
      <c r="T10">
        <v>2</v>
      </c>
      <c r="U10" t="str">
        <f t="shared" si="5"/>
        <v>4/2</v>
      </c>
      <c r="V10" t="s">
        <v>42</v>
      </c>
      <c r="W10" t="s">
        <v>75</v>
      </c>
      <c r="X10" t="str">
        <f t="shared" si="6"/>
        <v>Pron+V</v>
      </c>
      <c r="Y10">
        <v>2</v>
      </c>
      <c r="AB10" t="s">
        <v>35</v>
      </c>
      <c r="AC10" t="s">
        <v>36</v>
      </c>
      <c r="AD10" t="s">
        <v>108</v>
      </c>
      <c r="AE10" t="s">
        <v>109</v>
      </c>
      <c r="AF10" t="s">
        <v>131</v>
      </c>
      <c r="AG10">
        <v>2</v>
      </c>
      <c r="AH10" t="s">
        <v>40</v>
      </c>
      <c r="AI10" t="s">
        <v>32</v>
      </c>
      <c r="AJ10">
        <v>4</v>
      </c>
      <c r="AK10">
        <v>2</v>
      </c>
      <c r="AL10" t="str">
        <f>_xlfn.CONCAT(AJ10,"/",AK10)</f>
        <v>4/2</v>
      </c>
      <c r="AM10" t="s">
        <v>75</v>
      </c>
      <c r="AN10" t="s">
        <v>75</v>
      </c>
      <c r="AO10" t="str">
        <f>_xlfn.CONCAT(AM10,"+",AN10)</f>
        <v>V+V</v>
      </c>
      <c r="AP10">
        <v>1</v>
      </c>
      <c r="AQ10" t="s">
        <v>77</v>
      </c>
    </row>
    <row r="11" spans="2:43">
      <c r="B11" t="s">
        <v>44</v>
      </c>
      <c r="C11">
        <v>3</v>
      </c>
      <c r="D11" t="s">
        <v>45</v>
      </c>
      <c r="E11">
        <v>1</v>
      </c>
      <c r="F11" t="s">
        <v>33</v>
      </c>
      <c r="G11" t="str">
        <f t="shared" si="2"/>
        <v>J3M</v>
      </c>
      <c r="H11" t="str">
        <f t="shared" si="3"/>
        <v>–</v>
      </c>
      <c r="I11" t="str">
        <f t="shared" si="4"/>
        <v>–</v>
      </c>
      <c r="L11" t="s">
        <v>46</v>
      </c>
      <c r="M11" t="s">
        <v>132</v>
      </c>
      <c r="N11" t="s">
        <v>133</v>
      </c>
      <c r="O11" t="s">
        <v>134</v>
      </c>
      <c r="P11">
        <v>2</v>
      </c>
      <c r="Q11" t="s">
        <v>40</v>
      </c>
      <c r="R11" t="s">
        <v>45</v>
      </c>
      <c r="S11">
        <v>3</v>
      </c>
      <c r="T11">
        <v>3</v>
      </c>
      <c r="U11" t="str">
        <f t="shared" si="5"/>
        <v>3/3</v>
      </c>
      <c r="V11" t="s">
        <v>50</v>
      </c>
      <c r="W11" t="s">
        <v>89</v>
      </c>
      <c r="X11" t="str">
        <f t="shared" si="6"/>
        <v>N+Adv</v>
      </c>
      <c r="Y11">
        <v>2</v>
      </c>
      <c r="AB11" t="s">
        <v>35</v>
      </c>
      <c r="AC11" t="s">
        <v>46</v>
      </c>
      <c r="AD11" t="s">
        <v>119</v>
      </c>
      <c r="AE11" t="s">
        <v>120</v>
      </c>
      <c r="AF11" t="s">
        <v>121</v>
      </c>
      <c r="AG11">
        <v>1</v>
      </c>
      <c r="AH11" t="s">
        <v>58</v>
      </c>
      <c r="AI11" t="s">
        <v>45</v>
      </c>
      <c r="AJ11">
        <v>3</v>
      </c>
      <c r="AK11">
        <v>1</v>
      </c>
      <c r="AL11" t="str">
        <f>_xlfn.CONCAT(AJ11,"/",AK11)</f>
        <v>3/1</v>
      </c>
      <c r="AM11" t="s">
        <v>75</v>
      </c>
      <c r="AN11" t="s">
        <v>50</v>
      </c>
      <c r="AO11" t="str">
        <f>_xlfn.CONCAT(AM11,"+",AN11)</f>
        <v>V+N</v>
      </c>
      <c r="AP11">
        <v>2</v>
      </c>
      <c r="AQ11" t="s">
        <v>135</v>
      </c>
    </row>
    <row r="12" spans="2:43">
      <c r="B12" t="s">
        <v>31</v>
      </c>
      <c r="C12">
        <v>5</v>
      </c>
      <c r="D12" t="s">
        <v>32</v>
      </c>
      <c r="E12" t="s">
        <v>33</v>
      </c>
      <c r="F12" t="s">
        <v>33</v>
      </c>
      <c r="G12" t="s">
        <v>34</v>
      </c>
      <c r="H12" t="str">
        <f t="shared" si="3"/>
        <v>–</v>
      </c>
      <c r="I12" t="str">
        <f t="shared" si="4"/>
        <v>–</v>
      </c>
    </row>
    <row r="13" spans="2:43">
      <c r="B13" t="s">
        <v>44</v>
      </c>
      <c r="C13">
        <v>5</v>
      </c>
      <c r="D13" t="s">
        <v>45</v>
      </c>
      <c r="E13">
        <v>0</v>
      </c>
      <c r="F13" t="s">
        <v>33</v>
      </c>
      <c r="G13" t="str">
        <f t="shared" si="2"/>
        <v>J5M</v>
      </c>
      <c r="H13" t="str">
        <f t="shared" si="3"/>
        <v>–</v>
      </c>
      <c r="I13" t="str">
        <f t="shared" si="4"/>
        <v>–</v>
      </c>
    </row>
    <row r="14" spans="2:43" ht="15">
      <c r="B14" t="s">
        <v>136</v>
      </c>
      <c r="C14">
        <v>4</v>
      </c>
      <c r="D14" t="s">
        <v>32</v>
      </c>
      <c r="E14" t="s">
        <v>33</v>
      </c>
      <c r="F14" t="s">
        <v>33</v>
      </c>
      <c r="G14" t="s">
        <v>137</v>
      </c>
      <c r="H14" t="str">
        <f t="shared" si="3"/>
        <v>–</v>
      </c>
      <c r="I14" t="str">
        <f t="shared" si="4"/>
        <v>–</v>
      </c>
      <c r="AB14" s="4" t="s">
        <v>84</v>
      </c>
      <c r="AC14" s="4" t="s">
        <v>85</v>
      </c>
    </row>
    <row r="15" spans="2:43">
      <c r="B15" t="s">
        <v>44</v>
      </c>
      <c r="C15">
        <v>5</v>
      </c>
      <c r="D15" t="s">
        <v>45</v>
      </c>
      <c r="E15">
        <v>1</v>
      </c>
      <c r="F15" t="s">
        <v>33</v>
      </c>
      <c r="G15" t="str">
        <f t="shared" si="2"/>
        <v>J5M</v>
      </c>
      <c r="H15" t="str">
        <f t="shared" si="3"/>
        <v>–</v>
      </c>
      <c r="I15" t="str">
        <f t="shared" si="4"/>
        <v>–</v>
      </c>
      <c r="K15" s="4"/>
      <c r="L15" s="19"/>
      <c r="M15" s="19"/>
      <c r="AB15" t="s">
        <v>16</v>
      </c>
      <c r="AC15" t="s">
        <v>17</v>
      </c>
      <c r="AD15" t="s">
        <v>18</v>
      </c>
      <c r="AE15" t="s">
        <v>19</v>
      </c>
      <c r="AF15" t="s">
        <v>20</v>
      </c>
      <c r="AG15" t="s">
        <v>21</v>
      </c>
      <c r="AH15" t="s">
        <v>22</v>
      </c>
      <c r="AI15" t="s">
        <v>10</v>
      </c>
      <c r="AJ15" t="s">
        <v>64</v>
      </c>
      <c r="AK15" t="s">
        <v>65</v>
      </c>
      <c r="AL15" t="s">
        <v>66</v>
      </c>
      <c r="AM15" t="s">
        <v>67</v>
      </c>
      <c r="AN15" t="s">
        <v>68</v>
      </c>
      <c r="AO15" t="s">
        <v>28</v>
      </c>
      <c r="AP15" t="s">
        <v>69</v>
      </c>
      <c r="AQ15" t="s">
        <v>91</v>
      </c>
    </row>
    <row r="16" spans="2:43">
      <c r="B16" t="s">
        <v>44</v>
      </c>
      <c r="C16">
        <v>5</v>
      </c>
      <c r="D16" t="s">
        <v>32</v>
      </c>
      <c r="E16">
        <v>1</v>
      </c>
      <c r="F16" t="s">
        <v>33</v>
      </c>
      <c r="G16" t="str">
        <f t="shared" si="2"/>
        <v>J5Ž</v>
      </c>
      <c r="H16" t="str">
        <f t="shared" si="3"/>
        <v>–</v>
      </c>
      <c r="I16" t="str">
        <f t="shared" si="4"/>
        <v>–</v>
      </c>
      <c r="AD16" t="s">
        <v>108</v>
      </c>
      <c r="AE16" t="s">
        <v>109</v>
      </c>
      <c r="AF16" t="s">
        <v>131</v>
      </c>
      <c r="AG16">
        <v>2</v>
      </c>
      <c r="AH16" t="s">
        <v>40</v>
      </c>
      <c r="AI16" t="s">
        <v>32</v>
      </c>
      <c r="AJ16">
        <v>4</v>
      </c>
      <c r="AK16">
        <v>2</v>
      </c>
      <c r="AL16" t="str">
        <f>_xlfn.CONCAT(AJ16,"/",AK16)</f>
        <v>4/2</v>
      </c>
      <c r="AM16" t="s">
        <v>75</v>
      </c>
      <c r="AN16" t="s">
        <v>75</v>
      </c>
      <c r="AO16" t="str">
        <f>_xlfn.CONCAT(AM16,"+",AN16)</f>
        <v>V+V</v>
      </c>
      <c r="AP16">
        <v>1</v>
      </c>
      <c r="AQ16" t="s">
        <v>77</v>
      </c>
    </row>
    <row r="17" spans="2:26">
      <c r="B17" t="s">
        <v>44</v>
      </c>
      <c r="C17">
        <v>5</v>
      </c>
      <c r="D17" t="s">
        <v>45</v>
      </c>
      <c r="E17">
        <v>0</v>
      </c>
      <c r="F17" t="s">
        <v>33</v>
      </c>
      <c r="G17" t="str">
        <f t="shared" si="2"/>
        <v>J5M</v>
      </c>
      <c r="H17" t="str">
        <f t="shared" si="3"/>
        <v>–</v>
      </c>
      <c r="I17" t="str">
        <f t="shared" si="4"/>
        <v>–</v>
      </c>
    </row>
    <row r="18" spans="2:26">
      <c r="B18" t="s">
        <v>44</v>
      </c>
      <c r="C18">
        <v>5</v>
      </c>
      <c r="D18" t="s">
        <v>32</v>
      </c>
      <c r="E18">
        <v>0</v>
      </c>
      <c r="F18" t="s">
        <v>33</v>
      </c>
      <c r="G18" t="str">
        <f t="shared" si="2"/>
        <v>J5Ž</v>
      </c>
      <c r="H18" t="str">
        <f t="shared" si="3"/>
        <v>–</v>
      </c>
      <c r="I18" t="str">
        <f t="shared" si="4"/>
        <v>–</v>
      </c>
      <c r="Z18" s="17"/>
    </row>
    <row r="19" spans="2:26">
      <c r="B19" t="s">
        <v>44</v>
      </c>
      <c r="C19">
        <v>5</v>
      </c>
      <c r="D19" t="s">
        <v>45</v>
      </c>
      <c r="E19">
        <v>0</v>
      </c>
      <c r="F19" t="s">
        <v>33</v>
      </c>
      <c r="G19" t="str">
        <f t="shared" si="2"/>
        <v>J5M</v>
      </c>
      <c r="H19" t="str">
        <f t="shared" si="3"/>
        <v>–</v>
      </c>
      <c r="I19" t="str">
        <f t="shared" si="4"/>
        <v>–</v>
      </c>
    </row>
    <row r="20" spans="2:26">
      <c r="H20" t="str">
        <f t="shared" ref="H20" si="7">IF(G20="alexandrín",IF(D20="Ž","ženský","mužský"),"")</f>
        <v/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92DC5-2D0D-4548-A38E-787F9BE5EFF4}">
  <dimension ref="B1:AQ18"/>
  <sheetViews>
    <sheetView topLeftCell="AB1" workbookViewId="0">
      <selection activeCell="AQ5" sqref="AQ5"/>
    </sheetView>
  </sheetViews>
  <sheetFormatPr defaultRowHeight="14.45"/>
  <cols>
    <col min="3" max="3" width="9.7109375" bestFit="1" customWidth="1"/>
    <col min="5" max="5" width="14.140625" bestFit="1" customWidth="1"/>
    <col min="6" max="6" width="40.42578125" bestFit="1" customWidth="1"/>
    <col min="7" max="7" width="10.28515625" bestFit="1" customWidth="1"/>
    <col min="8" max="8" width="23.42578125" bestFit="1" customWidth="1"/>
    <col min="9" max="9" width="15.42578125" bestFit="1" customWidth="1"/>
    <col min="10" max="10" width="13.85546875" customWidth="1"/>
    <col min="11" max="11" width="14.5703125" customWidth="1"/>
    <col min="12" max="12" width="10" customWidth="1"/>
    <col min="13" max="13" width="14.28515625" customWidth="1"/>
    <col min="14" max="14" width="14.140625" customWidth="1"/>
    <col min="15" max="15" width="11.140625" customWidth="1"/>
    <col min="16" max="16" width="17.140625" customWidth="1"/>
    <col min="17" max="17" width="23.85546875" customWidth="1"/>
    <col min="19" max="20" width="28" customWidth="1"/>
    <col min="21" max="21" width="21.42578125" customWidth="1"/>
    <col min="22" max="22" width="27.7109375" customWidth="1"/>
    <col min="23" max="23" width="27.85546875" customWidth="1"/>
    <col min="24" max="24" width="26.28515625" customWidth="1"/>
    <col min="25" max="25" width="27.85546875" customWidth="1"/>
    <col min="26" max="26" width="28" customWidth="1"/>
    <col min="28" max="28" width="24.85546875" customWidth="1"/>
    <col min="29" max="29" width="21.5703125" customWidth="1"/>
    <col min="30" max="30" width="17" customWidth="1"/>
    <col min="31" max="31" width="17.5703125" customWidth="1"/>
    <col min="32" max="32" width="16.42578125" customWidth="1"/>
    <col min="33" max="33" width="19.42578125" customWidth="1"/>
    <col min="34" max="34" width="28.42578125" customWidth="1"/>
    <col min="35" max="35" width="10.5703125" customWidth="1"/>
    <col min="36" max="36" width="30.28515625" customWidth="1"/>
    <col min="37" max="37" width="30.5703125" customWidth="1"/>
    <col min="38" max="38" width="24.42578125" customWidth="1"/>
    <col min="39" max="39" width="29.7109375" customWidth="1"/>
    <col min="40" max="40" width="34.140625" customWidth="1"/>
    <col min="41" max="41" width="31" customWidth="1"/>
    <col min="42" max="42" width="28.7109375" customWidth="1"/>
    <col min="43" max="43" width="12" customWidth="1"/>
  </cols>
  <sheetData>
    <row r="1" spans="2:43">
      <c r="B1" s="1" t="s">
        <v>138</v>
      </c>
    </row>
    <row r="2" spans="2:43" ht="15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10</v>
      </c>
      <c r="S2" t="s">
        <v>64</v>
      </c>
      <c r="T2" t="s">
        <v>65</v>
      </c>
      <c r="U2" t="s">
        <v>66</v>
      </c>
      <c r="V2" t="s">
        <v>67</v>
      </c>
      <c r="W2" t="s">
        <v>68</v>
      </c>
      <c r="X2" t="s">
        <v>28</v>
      </c>
      <c r="Y2" t="s">
        <v>69</v>
      </c>
      <c r="Z2" t="s">
        <v>30</v>
      </c>
      <c r="AB2" s="4" t="s">
        <v>59</v>
      </c>
      <c r="AC2" s="4" t="s">
        <v>60</v>
      </c>
    </row>
    <row r="3" spans="2:43">
      <c r="B3" t="s">
        <v>71</v>
      </c>
      <c r="C3">
        <v>5</v>
      </c>
      <c r="D3" t="s">
        <v>45</v>
      </c>
      <c r="E3" t="s">
        <v>33</v>
      </c>
      <c r="F3" t="s">
        <v>33</v>
      </c>
      <c r="G3" t="str">
        <f>IF(OR(F3="x",ISBLANK(F3)),_xlfn.CONCAT(B3,C3,D3),"alexandrín")</f>
        <v>T5M</v>
      </c>
      <c r="H3" t="str">
        <f>IF(G3="alexandrín",IF(D3="Ž","ženský","mužský"),"–")</f>
        <v>–</v>
      </c>
      <c r="I3" t="str">
        <f>IF(G3="alexandrín",_xlfn.CONCAT(G3,H3),"–")</f>
        <v>–</v>
      </c>
      <c r="K3" t="s">
        <v>139</v>
      </c>
      <c r="L3" t="s">
        <v>36</v>
      </c>
      <c r="M3" t="s">
        <v>140</v>
      </c>
      <c r="N3" t="s">
        <v>141</v>
      </c>
      <c r="O3" t="s">
        <v>142</v>
      </c>
      <c r="P3">
        <v>1</v>
      </c>
      <c r="Q3" t="s">
        <v>58</v>
      </c>
      <c r="R3" t="s">
        <v>45</v>
      </c>
      <c r="S3">
        <v>1</v>
      </c>
      <c r="T3">
        <v>1</v>
      </c>
      <c r="U3" t="str">
        <f>_xlfn.CONCAT(S3,"/",T3)</f>
        <v>1/1</v>
      </c>
      <c r="V3" t="s">
        <v>42</v>
      </c>
      <c r="W3" t="s">
        <v>75</v>
      </c>
      <c r="X3" t="str">
        <f>_xlfn.CONCAT(V3,"+",W3)</f>
        <v>Pron+V</v>
      </c>
      <c r="Y3">
        <v>2</v>
      </c>
      <c r="AB3" t="s">
        <v>16</v>
      </c>
      <c r="AC3" t="s">
        <v>17</v>
      </c>
      <c r="AD3" t="s">
        <v>18</v>
      </c>
      <c r="AE3" t="s">
        <v>19</v>
      </c>
      <c r="AF3" t="s">
        <v>20</v>
      </c>
      <c r="AG3" t="s">
        <v>21</v>
      </c>
      <c r="AH3" t="s">
        <v>22</v>
      </c>
      <c r="AI3" t="s">
        <v>10</v>
      </c>
      <c r="AJ3" t="s">
        <v>64</v>
      </c>
      <c r="AK3" t="s">
        <v>65</v>
      </c>
      <c r="AL3" t="s">
        <v>66</v>
      </c>
      <c r="AM3" t="s">
        <v>67</v>
      </c>
      <c r="AN3" t="s">
        <v>68</v>
      </c>
      <c r="AO3" t="s">
        <v>28</v>
      </c>
      <c r="AP3" t="s">
        <v>69</v>
      </c>
      <c r="AQ3" t="s">
        <v>70</v>
      </c>
    </row>
    <row r="4" spans="2:43">
      <c r="B4" t="s">
        <v>101</v>
      </c>
      <c r="C4">
        <v>3</v>
      </c>
      <c r="D4" t="s">
        <v>102</v>
      </c>
      <c r="E4" t="s">
        <v>33</v>
      </c>
      <c r="F4" t="s">
        <v>33</v>
      </c>
      <c r="G4" t="str">
        <f t="shared" ref="G4:G17" si="0">IF(OR(F4="x",ISBLANK(F4)),_xlfn.CONCAT(B4,C4,D4),"alexandrín")</f>
        <v>pD3A</v>
      </c>
      <c r="H4" t="str">
        <f t="shared" ref="H4:H18" si="1">IF(G4="alexandrín",IF(D4="Ž","ženský","mužský"),"–")</f>
        <v>–</v>
      </c>
      <c r="I4" t="str">
        <f t="shared" ref="I4:I18" si="2">IF(G4="alexandrín",_xlfn.CONCAT(G4,H4),"–")</f>
        <v>–</v>
      </c>
      <c r="L4" t="s">
        <v>46</v>
      </c>
      <c r="M4" t="s">
        <v>143</v>
      </c>
      <c r="N4" t="s">
        <v>144</v>
      </c>
      <c r="O4" t="s">
        <v>145</v>
      </c>
      <c r="P4">
        <v>2</v>
      </c>
      <c r="Q4" t="s">
        <v>40</v>
      </c>
      <c r="R4" t="s">
        <v>146</v>
      </c>
      <c r="S4">
        <v>3</v>
      </c>
      <c r="T4">
        <v>3</v>
      </c>
      <c r="U4" t="str">
        <f t="shared" ref="U4:U10" si="3">_xlfn.CONCAT(S4,"/",T4)</f>
        <v>3/3</v>
      </c>
      <c r="V4" t="s">
        <v>75</v>
      </c>
      <c r="W4" t="s">
        <v>75</v>
      </c>
      <c r="X4" t="str">
        <f t="shared" ref="X4:X10" si="4">_xlfn.CONCAT(V4,"+",W4)</f>
        <v>V+V</v>
      </c>
      <c r="Y4">
        <v>0</v>
      </c>
      <c r="AB4" t="s">
        <v>35</v>
      </c>
      <c r="AC4" t="s">
        <v>36</v>
      </c>
      <c r="AD4" t="s">
        <v>147</v>
      </c>
      <c r="AE4" t="s">
        <v>148</v>
      </c>
      <c r="AF4" t="s">
        <v>149</v>
      </c>
      <c r="AG4">
        <v>1</v>
      </c>
      <c r="AH4" t="s">
        <v>58</v>
      </c>
      <c r="AI4" t="s">
        <v>45</v>
      </c>
      <c r="AJ4">
        <v>1</v>
      </c>
      <c r="AK4">
        <v>1</v>
      </c>
      <c r="AL4" t="str">
        <f>_xlfn.CONCAT(AJ4,"/",AK4)</f>
        <v>1/1</v>
      </c>
      <c r="AM4" t="s">
        <v>50</v>
      </c>
      <c r="AN4" t="s">
        <v>50</v>
      </c>
      <c r="AO4" t="str">
        <f>_xlfn.CONCAT(AM4,"+",AN4)</f>
        <v>N+N</v>
      </c>
      <c r="AP4">
        <v>1</v>
      </c>
      <c r="AQ4" t="s">
        <v>135</v>
      </c>
    </row>
    <row r="5" spans="2:43">
      <c r="B5" t="s">
        <v>44</v>
      </c>
      <c r="C5">
        <v>6</v>
      </c>
      <c r="D5" t="s">
        <v>45</v>
      </c>
      <c r="E5">
        <v>0</v>
      </c>
      <c r="F5" t="s">
        <v>33</v>
      </c>
      <c r="G5" t="str">
        <f t="shared" si="0"/>
        <v>J6M</v>
      </c>
      <c r="H5" t="str">
        <f t="shared" si="1"/>
        <v>–</v>
      </c>
      <c r="I5" t="str">
        <f t="shared" si="2"/>
        <v>–</v>
      </c>
      <c r="J5" s="3" t="s">
        <v>150</v>
      </c>
      <c r="L5" t="s">
        <v>151</v>
      </c>
      <c r="M5" t="s">
        <v>152</v>
      </c>
      <c r="N5" t="s">
        <v>153</v>
      </c>
      <c r="O5" t="s">
        <v>154</v>
      </c>
      <c r="P5">
        <v>2</v>
      </c>
      <c r="Q5" t="s">
        <v>40</v>
      </c>
      <c r="R5" t="s">
        <v>45</v>
      </c>
      <c r="S5">
        <v>3</v>
      </c>
      <c r="T5">
        <v>3</v>
      </c>
      <c r="U5" t="str">
        <f t="shared" si="3"/>
        <v>3/3</v>
      </c>
      <c r="V5" t="s">
        <v>75</v>
      </c>
      <c r="W5" t="s">
        <v>50</v>
      </c>
      <c r="X5" t="str">
        <f t="shared" si="4"/>
        <v>V+N</v>
      </c>
      <c r="Y5">
        <v>2</v>
      </c>
      <c r="AB5" t="s">
        <v>35</v>
      </c>
      <c r="AC5" t="s">
        <v>46</v>
      </c>
      <c r="AD5" t="s">
        <v>155</v>
      </c>
      <c r="AE5" t="s">
        <v>156</v>
      </c>
      <c r="AF5" t="s">
        <v>157</v>
      </c>
      <c r="AG5">
        <v>2</v>
      </c>
      <c r="AH5" t="s">
        <v>40</v>
      </c>
      <c r="AI5" t="s">
        <v>32</v>
      </c>
      <c r="AJ5">
        <v>3</v>
      </c>
      <c r="AK5">
        <v>3</v>
      </c>
      <c r="AL5" t="str">
        <f>_xlfn.CONCAT(AJ5,"/",AK5)</f>
        <v>3/3</v>
      </c>
      <c r="AM5" t="s">
        <v>50</v>
      </c>
      <c r="AN5" t="s">
        <v>50</v>
      </c>
      <c r="AO5" t="str">
        <f>_xlfn.CONCAT(AM5,"+",AN5)</f>
        <v>N+N</v>
      </c>
      <c r="AP5">
        <v>1</v>
      </c>
      <c r="AQ5" t="s">
        <v>135</v>
      </c>
    </row>
    <row r="6" spans="2:43">
      <c r="B6" t="s">
        <v>44</v>
      </c>
      <c r="C6">
        <v>1</v>
      </c>
      <c r="D6" t="s">
        <v>32</v>
      </c>
      <c r="E6">
        <v>0</v>
      </c>
      <c r="F6" t="s">
        <v>33</v>
      </c>
      <c r="G6" t="str">
        <f t="shared" si="0"/>
        <v>J1Ž</v>
      </c>
      <c r="H6" t="str">
        <f t="shared" si="1"/>
        <v>–</v>
      </c>
      <c r="I6" t="str">
        <f t="shared" si="2"/>
        <v>–</v>
      </c>
      <c r="L6" t="s">
        <v>158</v>
      </c>
      <c r="M6" t="s">
        <v>159</v>
      </c>
      <c r="N6" t="s">
        <v>160</v>
      </c>
      <c r="O6" t="s">
        <v>161</v>
      </c>
      <c r="P6">
        <v>1</v>
      </c>
      <c r="Q6" t="s">
        <v>58</v>
      </c>
      <c r="R6" t="s">
        <v>45</v>
      </c>
      <c r="S6">
        <v>3</v>
      </c>
      <c r="T6">
        <v>1</v>
      </c>
      <c r="U6" t="str">
        <f t="shared" si="3"/>
        <v>3/1</v>
      </c>
      <c r="V6" t="s">
        <v>75</v>
      </c>
      <c r="W6" t="s">
        <v>50</v>
      </c>
      <c r="X6" t="str">
        <f t="shared" si="4"/>
        <v>V+N</v>
      </c>
      <c r="Y6">
        <v>2</v>
      </c>
    </row>
    <row r="7" spans="2:43">
      <c r="B7" t="s">
        <v>44</v>
      </c>
      <c r="C7">
        <v>6</v>
      </c>
      <c r="D7" t="s">
        <v>45</v>
      </c>
      <c r="E7">
        <v>0</v>
      </c>
      <c r="F7">
        <v>1</v>
      </c>
      <c r="G7" t="str">
        <f t="shared" si="0"/>
        <v>alexandrín</v>
      </c>
      <c r="H7" t="str">
        <f t="shared" si="1"/>
        <v>mužský</v>
      </c>
      <c r="I7" t="str">
        <f t="shared" si="2"/>
        <v>alexandrínmužský</v>
      </c>
      <c r="K7" t="s">
        <v>35</v>
      </c>
      <c r="L7" t="s">
        <v>36</v>
      </c>
      <c r="M7" t="s">
        <v>140</v>
      </c>
      <c r="N7" t="s">
        <v>162</v>
      </c>
      <c r="O7" t="s">
        <v>163</v>
      </c>
      <c r="P7">
        <v>1</v>
      </c>
      <c r="Q7" t="s">
        <v>58</v>
      </c>
      <c r="R7" t="s">
        <v>45</v>
      </c>
      <c r="S7">
        <v>1</v>
      </c>
      <c r="T7">
        <v>3</v>
      </c>
      <c r="U7" t="str">
        <f t="shared" si="3"/>
        <v>1/3</v>
      </c>
      <c r="V7" t="s">
        <v>42</v>
      </c>
      <c r="W7" t="s">
        <v>41</v>
      </c>
      <c r="X7" t="str">
        <f t="shared" si="4"/>
        <v>Pron+Adj</v>
      </c>
      <c r="Y7">
        <v>2</v>
      </c>
    </row>
    <row r="8" spans="2:43">
      <c r="B8" t="s">
        <v>101</v>
      </c>
      <c r="C8">
        <v>3</v>
      </c>
      <c r="D8" t="s">
        <v>102</v>
      </c>
      <c r="E8" t="s">
        <v>33</v>
      </c>
      <c r="F8" t="s">
        <v>33</v>
      </c>
      <c r="G8" t="str">
        <f t="shared" si="0"/>
        <v>pD3A</v>
      </c>
      <c r="H8" t="str">
        <f t="shared" si="1"/>
        <v>–</v>
      </c>
      <c r="I8" t="str">
        <f t="shared" si="2"/>
        <v>–</v>
      </c>
      <c r="L8" t="s">
        <v>46</v>
      </c>
      <c r="M8" t="s">
        <v>164</v>
      </c>
      <c r="N8" t="s">
        <v>165</v>
      </c>
      <c r="O8" t="s">
        <v>166</v>
      </c>
      <c r="P8">
        <v>2</v>
      </c>
      <c r="Q8" t="s">
        <v>40</v>
      </c>
      <c r="R8" t="s">
        <v>32</v>
      </c>
      <c r="S8">
        <v>2</v>
      </c>
      <c r="T8">
        <v>2</v>
      </c>
      <c r="U8" t="str">
        <f t="shared" si="3"/>
        <v>2/2</v>
      </c>
      <c r="V8" t="s">
        <v>41</v>
      </c>
      <c r="W8" t="s">
        <v>50</v>
      </c>
      <c r="X8" t="str">
        <f t="shared" si="4"/>
        <v>Adj+N</v>
      </c>
      <c r="Y8">
        <v>2</v>
      </c>
    </row>
    <row r="9" spans="2:43" ht="15">
      <c r="B9" t="s">
        <v>44</v>
      </c>
      <c r="C9">
        <v>6</v>
      </c>
      <c r="D9" t="s">
        <v>45</v>
      </c>
      <c r="E9">
        <v>1</v>
      </c>
      <c r="F9">
        <v>1</v>
      </c>
      <c r="G9" t="str">
        <f t="shared" si="0"/>
        <v>alexandrín</v>
      </c>
      <c r="H9" t="str">
        <f t="shared" si="1"/>
        <v>mužský</v>
      </c>
      <c r="I9" t="str">
        <f t="shared" si="2"/>
        <v>alexandrínmužský</v>
      </c>
      <c r="K9" t="s">
        <v>35</v>
      </c>
      <c r="L9" t="s">
        <v>36</v>
      </c>
      <c r="M9" t="s">
        <v>147</v>
      </c>
      <c r="N9" t="s">
        <v>167</v>
      </c>
      <c r="O9" t="s">
        <v>149</v>
      </c>
      <c r="P9">
        <v>1</v>
      </c>
      <c r="Q9" t="s">
        <v>58</v>
      </c>
      <c r="R9" t="s">
        <v>45</v>
      </c>
      <c r="S9">
        <v>1</v>
      </c>
      <c r="T9">
        <v>1</v>
      </c>
      <c r="U9" t="str">
        <f t="shared" si="3"/>
        <v>1/1</v>
      </c>
      <c r="V9" t="s">
        <v>50</v>
      </c>
      <c r="W9" t="s">
        <v>50</v>
      </c>
      <c r="X9" t="str">
        <f t="shared" si="4"/>
        <v>N+N</v>
      </c>
      <c r="Y9">
        <v>1</v>
      </c>
      <c r="Z9" s="25" t="s">
        <v>122</v>
      </c>
    </row>
    <row r="10" spans="2:43">
      <c r="B10" t="s">
        <v>31</v>
      </c>
      <c r="C10">
        <v>3</v>
      </c>
      <c r="D10" t="s">
        <v>45</v>
      </c>
      <c r="E10" t="s">
        <v>33</v>
      </c>
      <c r="F10" t="s">
        <v>33</v>
      </c>
      <c r="G10" t="s">
        <v>168</v>
      </c>
      <c r="H10" t="str">
        <f t="shared" si="1"/>
        <v>–</v>
      </c>
      <c r="I10" t="str">
        <f t="shared" si="2"/>
        <v>–</v>
      </c>
      <c r="L10" t="s">
        <v>46</v>
      </c>
      <c r="M10" t="s">
        <v>155</v>
      </c>
      <c r="N10" t="s">
        <v>156</v>
      </c>
      <c r="O10" t="s">
        <v>157</v>
      </c>
      <c r="P10">
        <v>2</v>
      </c>
      <c r="Q10" t="s">
        <v>40</v>
      </c>
      <c r="R10" t="s">
        <v>45</v>
      </c>
      <c r="S10">
        <v>3</v>
      </c>
      <c r="T10">
        <v>3</v>
      </c>
      <c r="U10" t="str">
        <f t="shared" si="3"/>
        <v>3/3</v>
      </c>
      <c r="V10" t="s">
        <v>50</v>
      </c>
      <c r="W10" t="s">
        <v>50</v>
      </c>
      <c r="X10" t="str">
        <f t="shared" si="4"/>
        <v>N+N</v>
      </c>
      <c r="Y10">
        <v>1</v>
      </c>
      <c r="Z10" t="s">
        <v>122</v>
      </c>
    </row>
    <row r="11" spans="2:43">
      <c r="B11" t="s">
        <v>71</v>
      </c>
      <c r="C11">
        <v>5</v>
      </c>
      <c r="D11" t="s">
        <v>45</v>
      </c>
      <c r="E11" t="s">
        <v>33</v>
      </c>
      <c r="F11" t="s">
        <v>33</v>
      </c>
      <c r="G11" t="str">
        <f t="shared" si="0"/>
        <v>T5M</v>
      </c>
      <c r="H11" t="str">
        <f t="shared" si="1"/>
        <v>–</v>
      </c>
      <c r="I11" t="str">
        <f t="shared" si="2"/>
        <v>–</v>
      </c>
    </row>
    <row r="12" spans="2:43">
      <c r="B12" t="s">
        <v>44</v>
      </c>
      <c r="C12">
        <v>6</v>
      </c>
      <c r="D12" t="s">
        <v>32</v>
      </c>
      <c r="E12">
        <v>0</v>
      </c>
      <c r="F12">
        <v>0</v>
      </c>
      <c r="G12" t="str">
        <f t="shared" si="0"/>
        <v>alexandrín</v>
      </c>
      <c r="H12" t="str">
        <f t="shared" si="1"/>
        <v>ženský</v>
      </c>
      <c r="I12" t="str">
        <f t="shared" si="2"/>
        <v>alexandrínženský</v>
      </c>
    </row>
    <row r="13" spans="2:43">
      <c r="B13" t="s">
        <v>44</v>
      </c>
      <c r="C13">
        <v>5</v>
      </c>
      <c r="D13" t="s">
        <v>45</v>
      </c>
      <c r="E13">
        <v>0</v>
      </c>
      <c r="F13" t="s">
        <v>33</v>
      </c>
      <c r="G13" t="str">
        <f t="shared" si="0"/>
        <v>J5M</v>
      </c>
      <c r="H13" t="str">
        <f t="shared" si="1"/>
        <v>–</v>
      </c>
      <c r="I13" t="str">
        <f t="shared" si="2"/>
        <v>–</v>
      </c>
    </row>
    <row r="14" spans="2:43">
      <c r="B14" t="s">
        <v>44</v>
      </c>
      <c r="C14">
        <v>2</v>
      </c>
      <c r="D14" t="s">
        <v>32</v>
      </c>
      <c r="E14">
        <v>1</v>
      </c>
      <c r="F14" t="s">
        <v>33</v>
      </c>
      <c r="G14" t="str">
        <f t="shared" si="0"/>
        <v>J2Ž</v>
      </c>
      <c r="H14" t="str">
        <f t="shared" si="1"/>
        <v>–</v>
      </c>
      <c r="I14" t="str">
        <f t="shared" si="2"/>
        <v>–</v>
      </c>
    </row>
    <row r="15" spans="2:43">
      <c r="B15" t="s">
        <v>44</v>
      </c>
      <c r="C15">
        <v>5</v>
      </c>
      <c r="D15" t="s">
        <v>45</v>
      </c>
      <c r="E15">
        <v>0</v>
      </c>
      <c r="F15" t="s">
        <v>33</v>
      </c>
      <c r="G15" t="str">
        <f t="shared" si="0"/>
        <v>J5M</v>
      </c>
      <c r="H15" t="str">
        <f t="shared" si="1"/>
        <v>–</v>
      </c>
      <c r="I15" t="str">
        <f t="shared" si="2"/>
        <v>–</v>
      </c>
    </row>
    <row r="16" spans="2:43">
      <c r="B16" t="s">
        <v>44</v>
      </c>
      <c r="C16">
        <v>3</v>
      </c>
      <c r="D16" t="s">
        <v>45</v>
      </c>
      <c r="E16">
        <v>0</v>
      </c>
      <c r="F16" t="s">
        <v>33</v>
      </c>
      <c r="G16" t="str">
        <f t="shared" si="0"/>
        <v>J3M</v>
      </c>
      <c r="H16" t="str">
        <f t="shared" si="1"/>
        <v>–</v>
      </c>
      <c r="I16" t="str">
        <f t="shared" si="2"/>
        <v>–</v>
      </c>
    </row>
    <row r="17" spans="2:9">
      <c r="B17" t="s">
        <v>44</v>
      </c>
      <c r="C17">
        <v>5</v>
      </c>
      <c r="D17" t="s">
        <v>45</v>
      </c>
      <c r="E17">
        <v>0</v>
      </c>
      <c r="F17" t="s">
        <v>33</v>
      </c>
      <c r="G17" t="str">
        <f t="shared" si="0"/>
        <v>J5M</v>
      </c>
      <c r="H17" t="str">
        <f t="shared" si="1"/>
        <v>–</v>
      </c>
      <c r="I17" t="str">
        <f t="shared" si="2"/>
        <v>–</v>
      </c>
    </row>
    <row r="18" spans="2:9">
      <c r="B18" t="s">
        <v>44</v>
      </c>
      <c r="C18">
        <v>2</v>
      </c>
      <c r="D18" t="s">
        <v>45</v>
      </c>
      <c r="E18">
        <v>0</v>
      </c>
      <c r="F18" t="s">
        <v>33</v>
      </c>
      <c r="G18" t="str">
        <f>IF(OR(F18="x",ISBLANK(F18)),_xlfn.CONCAT(B18,C18,D18),"alexandrín")</f>
        <v>J2M</v>
      </c>
      <c r="H18" t="str">
        <f t="shared" si="1"/>
        <v>–</v>
      </c>
      <c r="I18" t="str">
        <f t="shared" si="2"/>
        <v>–</v>
      </c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21A7C-B2D7-4BF4-98A8-4A82722859E1}">
  <dimension ref="B1:AQ30"/>
  <sheetViews>
    <sheetView topLeftCell="AA1" workbookViewId="0">
      <selection activeCell="AQ9" sqref="AQ9"/>
    </sheetView>
  </sheetViews>
  <sheetFormatPr defaultRowHeight="14.45"/>
  <cols>
    <col min="2" max="2" width="13.28515625" bestFit="1" customWidth="1"/>
    <col min="3" max="3" width="9.7109375" bestFit="1" customWidth="1"/>
    <col min="5" max="5" width="14.140625" bestFit="1" customWidth="1"/>
    <col min="6" max="6" width="40.42578125" bestFit="1" customWidth="1"/>
    <col min="7" max="7" width="9.42578125" bestFit="1" customWidth="1"/>
    <col min="8" max="8" width="23.42578125" bestFit="1" customWidth="1"/>
    <col min="9" max="9" width="15.42578125" bestFit="1" customWidth="1"/>
    <col min="11" max="11" width="14.85546875" customWidth="1"/>
    <col min="12" max="12" width="10" customWidth="1"/>
    <col min="13" max="14" width="14.28515625" customWidth="1"/>
    <col min="15" max="15" width="11.140625" customWidth="1"/>
    <col min="16" max="16" width="17.28515625" customWidth="1"/>
    <col min="17" max="17" width="24.28515625" customWidth="1"/>
    <col min="19" max="19" width="28.140625" customWidth="1"/>
    <col min="20" max="20" width="27.85546875" customWidth="1"/>
    <col min="21" max="21" width="21.85546875" customWidth="1"/>
    <col min="22" max="22" width="27.5703125" customWidth="1"/>
    <col min="23" max="23" width="27.85546875" customWidth="1"/>
    <col min="24" max="24" width="26.42578125" customWidth="1"/>
    <col min="25" max="25" width="28.7109375" customWidth="1"/>
    <col min="26" max="26" width="83.5703125" customWidth="1"/>
    <col min="28" max="28" width="15" bestFit="1" customWidth="1"/>
    <col min="29" max="29" width="22.7109375" customWidth="1"/>
    <col min="30" max="31" width="14.85546875" bestFit="1" customWidth="1"/>
    <col min="32" max="32" width="11.5703125" bestFit="1" customWidth="1"/>
    <col min="33" max="33" width="18.28515625" bestFit="1" customWidth="1"/>
    <col min="34" max="34" width="25.42578125" bestFit="1" customWidth="1"/>
    <col min="36" max="37" width="29.42578125" bestFit="1" customWidth="1"/>
    <col min="38" max="38" width="23" bestFit="1" customWidth="1"/>
    <col min="39" max="40" width="29.42578125" bestFit="1" customWidth="1"/>
    <col min="41" max="41" width="28.140625" bestFit="1" customWidth="1"/>
    <col min="42" max="42" width="29.85546875" bestFit="1" customWidth="1"/>
    <col min="43" max="43" width="20.42578125" bestFit="1" customWidth="1"/>
  </cols>
  <sheetData>
    <row r="1" spans="2:43">
      <c r="B1" s="1" t="s">
        <v>169</v>
      </c>
    </row>
    <row r="2" spans="2:43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10</v>
      </c>
      <c r="S2" t="s">
        <v>64</v>
      </c>
      <c r="T2" t="s">
        <v>65</v>
      </c>
      <c r="U2" t="s">
        <v>66</v>
      </c>
      <c r="V2" t="s">
        <v>67</v>
      </c>
      <c r="W2" t="s">
        <v>68</v>
      </c>
      <c r="X2" t="s">
        <v>28</v>
      </c>
      <c r="Y2" t="s">
        <v>69</v>
      </c>
      <c r="Z2" t="s">
        <v>30</v>
      </c>
      <c r="AB2" s="4" t="s">
        <v>105</v>
      </c>
      <c r="AC2" s="18" t="s">
        <v>106</v>
      </c>
      <c r="AD2" s="18"/>
    </row>
    <row r="3" spans="2:43">
      <c r="B3" t="s">
        <v>44</v>
      </c>
      <c r="C3">
        <v>5</v>
      </c>
      <c r="D3" t="s">
        <v>45</v>
      </c>
      <c r="E3">
        <v>1</v>
      </c>
      <c r="F3" t="s">
        <v>33</v>
      </c>
      <c r="G3" t="str">
        <f>IF(OR(F3="x",ISBLANK(F3)),_xlfn.CONCAT(B3,C3,D3),"alexandrín")</f>
        <v>J5M</v>
      </c>
      <c r="H3" t="str">
        <f>IF(G3="alexandrín",IF(D3="Ž","ženský","mužský"),"–")</f>
        <v>–</v>
      </c>
      <c r="I3" t="str">
        <f>IF(G3="alexandrín",_xlfn.CONCAT(G3,H3),"–")</f>
        <v>–</v>
      </c>
      <c r="K3" t="s">
        <v>35</v>
      </c>
      <c r="L3" t="s">
        <v>36</v>
      </c>
      <c r="M3" t="s">
        <v>170</v>
      </c>
      <c r="N3" t="s">
        <v>171</v>
      </c>
      <c r="O3" t="s">
        <v>172</v>
      </c>
      <c r="P3">
        <v>1</v>
      </c>
      <c r="Q3" t="s">
        <v>58</v>
      </c>
      <c r="R3" t="s">
        <v>45</v>
      </c>
      <c r="S3">
        <v>3</v>
      </c>
      <c r="T3">
        <v>1</v>
      </c>
      <c r="U3" t="str">
        <f>_xlfn.CONCAT(S3,"/",T3)</f>
        <v>3/1</v>
      </c>
      <c r="V3" t="s">
        <v>75</v>
      </c>
      <c r="W3" t="s">
        <v>50</v>
      </c>
      <c r="X3" t="str">
        <f>_xlfn.CONCAT(V3,"+",W3)</f>
        <v>V+N</v>
      </c>
      <c r="Y3">
        <v>2</v>
      </c>
      <c r="AB3" t="s">
        <v>16</v>
      </c>
      <c r="AC3" t="s">
        <v>17</v>
      </c>
      <c r="AD3" t="s">
        <v>18</v>
      </c>
      <c r="AE3" t="s">
        <v>19</v>
      </c>
      <c r="AF3" t="s">
        <v>20</v>
      </c>
      <c r="AG3" t="s">
        <v>21</v>
      </c>
      <c r="AH3" t="s">
        <v>22</v>
      </c>
      <c r="AI3" t="s">
        <v>10</v>
      </c>
      <c r="AJ3" t="s">
        <v>64</v>
      </c>
      <c r="AK3" t="s">
        <v>65</v>
      </c>
      <c r="AL3" t="s">
        <v>66</v>
      </c>
      <c r="AM3" t="s">
        <v>67</v>
      </c>
      <c r="AN3" t="s">
        <v>68</v>
      </c>
      <c r="AO3" t="s">
        <v>28</v>
      </c>
      <c r="AP3" t="s">
        <v>69</v>
      </c>
      <c r="AQ3" t="s">
        <v>107</v>
      </c>
    </row>
    <row r="4" spans="2:43">
      <c r="B4" t="s">
        <v>44</v>
      </c>
      <c r="C4">
        <v>5</v>
      </c>
      <c r="D4" t="s">
        <v>32</v>
      </c>
      <c r="E4">
        <v>1</v>
      </c>
      <c r="F4" t="s">
        <v>33</v>
      </c>
      <c r="G4" t="str">
        <f t="shared" ref="G4:G27" si="0">IF(OR(F4="x",ISBLANK(F4)),_xlfn.CONCAT(B4,C4,D4),"alexandrín")</f>
        <v>J5Ž</v>
      </c>
      <c r="H4" t="str">
        <f t="shared" ref="H4:H30" si="1">IF(G4="alexandrín",IF(D4="Ž","ženský","mužský"),"–")</f>
        <v>–</v>
      </c>
      <c r="I4" t="str">
        <f t="shared" ref="I4:I30" si="2">IF(G4="alexandrín",_xlfn.CONCAT(G4,H4),"–")</f>
        <v>–</v>
      </c>
      <c r="L4" t="s">
        <v>46</v>
      </c>
      <c r="M4" t="s">
        <v>173</v>
      </c>
      <c r="N4" t="s">
        <v>174</v>
      </c>
      <c r="O4" t="s">
        <v>175</v>
      </c>
      <c r="P4">
        <v>2</v>
      </c>
      <c r="Q4" t="s">
        <v>40</v>
      </c>
      <c r="R4" t="s">
        <v>32</v>
      </c>
      <c r="S4">
        <v>4</v>
      </c>
      <c r="T4">
        <v>4</v>
      </c>
      <c r="U4" t="str">
        <f t="shared" ref="U4:U16" si="3">_xlfn.CONCAT(S4,"/",T4)</f>
        <v>4/4</v>
      </c>
      <c r="V4" t="s">
        <v>75</v>
      </c>
      <c r="W4" t="s">
        <v>75</v>
      </c>
      <c r="X4" t="str">
        <f t="shared" ref="X4:X16" si="4">_xlfn.CONCAT(V4,"+",W4)</f>
        <v>V+V</v>
      </c>
      <c r="Y4">
        <v>0</v>
      </c>
      <c r="AB4" t="s">
        <v>35</v>
      </c>
      <c r="AC4" t="s">
        <v>36</v>
      </c>
      <c r="AD4" t="s">
        <v>170</v>
      </c>
      <c r="AE4" t="s">
        <v>176</v>
      </c>
      <c r="AF4" t="s">
        <v>177</v>
      </c>
      <c r="AG4">
        <v>1</v>
      </c>
      <c r="AH4" t="s">
        <v>58</v>
      </c>
      <c r="AI4" t="s">
        <v>45</v>
      </c>
      <c r="AJ4">
        <v>3</v>
      </c>
      <c r="AK4">
        <v>1</v>
      </c>
      <c r="AL4" t="str">
        <f t="shared" ref="AL4" si="5">_xlfn.CONCAT(AJ4,"/",AK4)</f>
        <v>3/1</v>
      </c>
      <c r="AM4" t="s">
        <v>75</v>
      </c>
      <c r="AN4" t="s">
        <v>50</v>
      </c>
      <c r="AO4" t="str">
        <f t="shared" ref="AO4" si="6">_xlfn.CONCAT(AM4,"+",AN4)</f>
        <v>V+N</v>
      </c>
      <c r="AP4">
        <v>2</v>
      </c>
      <c r="AQ4" s="17" t="s">
        <v>114</v>
      </c>
    </row>
    <row r="5" spans="2:43">
      <c r="B5" t="s">
        <v>44</v>
      </c>
      <c r="C5">
        <v>5</v>
      </c>
      <c r="D5" t="s">
        <v>45</v>
      </c>
      <c r="E5">
        <v>0</v>
      </c>
      <c r="F5" t="s">
        <v>33</v>
      </c>
      <c r="G5" t="str">
        <f t="shared" si="0"/>
        <v>J5M</v>
      </c>
      <c r="H5" t="str">
        <f t="shared" si="1"/>
        <v>–</v>
      </c>
      <c r="I5" t="str">
        <f t="shared" si="2"/>
        <v>–</v>
      </c>
      <c r="K5" t="s">
        <v>35</v>
      </c>
      <c r="L5" t="s">
        <v>36</v>
      </c>
      <c r="M5" t="s">
        <v>178</v>
      </c>
      <c r="N5" t="s">
        <v>179</v>
      </c>
      <c r="O5" t="s">
        <v>180</v>
      </c>
      <c r="P5">
        <v>1</v>
      </c>
      <c r="Q5" t="s">
        <v>58</v>
      </c>
      <c r="R5" t="s">
        <v>45</v>
      </c>
      <c r="S5">
        <v>3</v>
      </c>
      <c r="T5">
        <v>1</v>
      </c>
      <c r="U5" t="str">
        <f t="shared" si="3"/>
        <v>3/1</v>
      </c>
      <c r="V5" t="s">
        <v>75</v>
      </c>
      <c r="W5" t="s">
        <v>75</v>
      </c>
      <c r="X5" t="str">
        <f t="shared" si="4"/>
        <v>V+V</v>
      </c>
      <c r="Y5">
        <v>0</v>
      </c>
    </row>
    <row r="6" spans="2:43">
      <c r="B6" t="s">
        <v>44</v>
      </c>
      <c r="C6">
        <v>5</v>
      </c>
      <c r="D6" t="s">
        <v>32</v>
      </c>
      <c r="E6">
        <v>2</v>
      </c>
      <c r="F6" t="s">
        <v>33</v>
      </c>
      <c r="G6" t="str">
        <f t="shared" si="0"/>
        <v>J5Ž</v>
      </c>
      <c r="H6" t="str">
        <f t="shared" si="1"/>
        <v>–</v>
      </c>
      <c r="I6" t="str">
        <f t="shared" si="2"/>
        <v>–</v>
      </c>
      <c r="L6" t="s">
        <v>46</v>
      </c>
      <c r="M6" t="s">
        <v>181</v>
      </c>
      <c r="N6" t="s">
        <v>182</v>
      </c>
      <c r="O6" t="s">
        <v>183</v>
      </c>
      <c r="P6">
        <v>2</v>
      </c>
      <c r="Q6" t="s">
        <v>40</v>
      </c>
      <c r="R6" t="s">
        <v>32</v>
      </c>
      <c r="S6">
        <v>2</v>
      </c>
      <c r="T6">
        <v>2</v>
      </c>
      <c r="U6" t="str">
        <f t="shared" si="3"/>
        <v>2/2</v>
      </c>
      <c r="V6" t="s">
        <v>50</v>
      </c>
      <c r="W6" t="s">
        <v>75</v>
      </c>
      <c r="X6" t="str">
        <f t="shared" si="4"/>
        <v>N+V</v>
      </c>
      <c r="Y6">
        <v>2</v>
      </c>
    </row>
    <row r="7" spans="2:43" ht="15">
      <c r="B7" t="s">
        <v>44</v>
      </c>
      <c r="C7">
        <v>5</v>
      </c>
      <c r="D7" t="s">
        <v>45</v>
      </c>
      <c r="E7">
        <v>1</v>
      </c>
      <c r="F7" t="s">
        <v>33</v>
      </c>
      <c r="G7" t="str">
        <f t="shared" si="0"/>
        <v>J5M</v>
      </c>
      <c r="H7" t="str">
        <f t="shared" si="1"/>
        <v>–</v>
      </c>
      <c r="I7" t="str">
        <f t="shared" si="2"/>
        <v>–</v>
      </c>
      <c r="K7" t="s">
        <v>35</v>
      </c>
      <c r="L7" t="s">
        <v>115</v>
      </c>
      <c r="Z7" s="3"/>
      <c r="AA7" s="3"/>
      <c r="AB7" s="4" t="s">
        <v>59</v>
      </c>
      <c r="AC7" s="4" t="s">
        <v>60</v>
      </c>
    </row>
    <row r="8" spans="2:43">
      <c r="B8" t="s">
        <v>44</v>
      </c>
      <c r="C8">
        <v>5</v>
      </c>
      <c r="D8" t="s">
        <v>32</v>
      </c>
      <c r="E8">
        <v>0</v>
      </c>
      <c r="F8" t="s">
        <v>33</v>
      </c>
      <c r="G8" t="str">
        <f t="shared" si="0"/>
        <v>J5Ž</v>
      </c>
      <c r="H8" t="str">
        <f t="shared" si="1"/>
        <v>–</v>
      </c>
      <c r="I8" t="str">
        <f t="shared" si="2"/>
        <v>–</v>
      </c>
      <c r="L8" t="s">
        <v>46</v>
      </c>
      <c r="M8" t="s">
        <v>184</v>
      </c>
      <c r="N8" t="s">
        <v>185</v>
      </c>
      <c r="O8" t="s">
        <v>186</v>
      </c>
      <c r="P8">
        <v>2</v>
      </c>
      <c r="Q8" t="s">
        <v>40</v>
      </c>
      <c r="R8" t="s">
        <v>32</v>
      </c>
      <c r="S8">
        <v>2</v>
      </c>
      <c r="T8">
        <v>2</v>
      </c>
      <c r="U8" t="str">
        <f t="shared" si="3"/>
        <v>2/2</v>
      </c>
      <c r="V8" t="s">
        <v>50</v>
      </c>
      <c r="W8" t="s">
        <v>41</v>
      </c>
      <c r="X8" t="str">
        <f t="shared" si="4"/>
        <v>N+Adj</v>
      </c>
      <c r="Y8">
        <v>2</v>
      </c>
      <c r="AB8" t="s">
        <v>16</v>
      </c>
      <c r="AC8" t="s">
        <v>17</v>
      </c>
      <c r="AD8" t="s">
        <v>18</v>
      </c>
      <c r="AE8" t="s">
        <v>19</v>
      </c>
      <c r="AF8" t="s">
        <v>20</v>
      </c>
      <c r="AG8" t="s">
        <v>21</v>
      </c>
      <c r="AH8" t="s">
        <v>22</v>
      </c>
      <c r="AI8" t="s">
        <v>10</v>
      </c>
      <c r="AJ8" t="s">
        <v>64</v>
      </c>
      <c r="AK8" t="s">
        <v>65</v>
      </c>
      <c r="AL8" t="s">
        <v>66</v>
      </c>
      <c r="AM8" t="s">
        <v>67</v>
      </c>
      <c r="AN8" t="s">
        <v>68</v>
      </c>
      <c r="AO8" t="s">
        <v>28</v>
      </c>
      <c r="AP8" t="s">
        <v>69</v>
      </c>
      <c r="AQ8" t="s">
        <v>70</v>
      </c>
    </row>
    <row r="9" spans="2:43">
      <c r="B9" t="s">
        <v>44</v>
      </c>
      <c r="C9">
        <v>5</v>
      </c>
      <c r="D9" t="s">
        <v>45</v>
      </c>
      <c r="E9">
        <v>1</v>
      </c>
      <c r="F9" t="s">
        <v>33</v>
      </c>
      <c r="G9" t="str">
        <f t="shared" si="0"/>
        <v>J5M</v>
      </c>
      <c r="H9" t="str">
        <f t="shared" si="1"/>
        <v>–</v>
      </c>
      <c r="I9" t="str">
        <f t="shared" si="2"/>
        <v>–</v>
      </c>
      <c r="K9" t="s">
        <v>35</v>
      </c>
      <c r="L9" t="s">
        <v>36</v>
      </c>
      <c r="M9" t="s">
        <v>187</v>
      </c>
      <c r="N9" t="s">
        <v>188</v>
      </c>
      <c r="O9" t="s">
        <v>189</v>
      </c>
      <c r="P9">
        <v>1</v>
      </c>
      <c r="Q9" t="s">
        <v>40</v>
      </c>
      <c r="R9" t="s">
        <v>45</v>
      </c>
      <c r="S9">
        <v>3</v>
      </c>
      <c r="T9">
        <v>1</v>
      </c>
      <c r="U9" t="str">
        <f t="shared" si="3"/>
        <v>3/1</v>
      </c>
      <c r="V9" t="s">
        <v>75</v>
      </c>
      <c r="W9" t="s">
        <v>50</v>
      </c>
      <c r="X9" t="str">
        <f t="shared" si="4"/>
        <v>V+N</v>
      </c>
      <c r="Y9">
        <v>2</v>
      </c>
      <c r="AB9" t="s">
        <v>35</v>
      </c>
      <c r="AC9" t="s">
        <v>46</v>
      </c>
      <c r="AD9" t="s">
        <v>190</v>
      </c>
      <c r="AE9" t="s">
        <v>191</v>
      </c>
      <c r="AF9" t="s">
        <v>192</v>
      </c>
      <c r="AG9">
        <v>2</v>
      </c>
      <c r="AH9" t="s">
        <v>40</v>
      </c>
      <c r="AI9" t="s">
        <v>32</v>
      </c>
      <c r="AJ9">
        <v>2</v>
      </c>
      <c r="AK9">
        <v>4</v>
      </c>
      <c r="AL9" t="str">
        <f>_xlfn.CONCAT(AJ9,"/",AK9)</f>
        <v>2/4</v>
      </c>
      <c r="AM9" t="s">
        <v>50</v>
      </c>
      <c r="AN9" t="s">
        <v>41</v>
      </c>
      <c r="AO9" t="str">
        <f>_xlfn.CONCAT(AM9,"+",AN9)</f>
        <v>N+Adj</v>
      </c>
      <c r="AP9">
        <v>2</v>
      </c>
      <c r="AQ9" t="s">
        <v>77</v>
      </c>
    </row>
    <row r="10" spans="2:43">
      <c r="B10" t="s">
        <v>193</v>
      </c>
      <c r="C10">
        <v>4</v>
      </c>
      <c r="D10" t="s">
        <v>32</v>
      </c>
      <c r="E10" t="s">
        <v>33</v>
      </c>
      <c r="F10" t="s">
        <v>33</v>
      </c>
      <c r="G10" t="str">
        <f t="shared" si="0"/>
        <v>D4Ž</v>
      </c>
      <c r="H10" t="str">
        <f t="shared" si="1"/>
        <v>–</v>
      </c>
      <c r="I10" t="str">
        <f t="shared" si="2"/>
        <v>–</v>
      </c>
      <c r="L10" t="s">
        <v>46</v>
      </c>
      <c r="M10" t="s">
        <v>190</v>
      </c>
      <c r="N10" t="s">
        <v>191</v>
      </c>
      <c r="O10" t="s">
        <v>192</v>
      </c>
      <c r="P10">
        <v>2</v>
      </c>
      <c r="Q10" t="s">
        <v>40</v>
      </c>
      <c r="R10" t="s">
        <v>32</v>
      </c>
      <c r="S10">
        <v>2</v>
      </c>
      <c r="T10">
        <v>4</v>
      </c>
      <c r="U10" t="str">
        <f t="shared" si="3"/>
        <v>2/4</v>
      </c>
      <c r="V10" t="s">
        <v>50</v>
      </c>
      <c r="W10" t="s">
        <v>41</v>
      </c>
      <c r="X10" t="str">
        <f t="shared" si="4"/>
        <v>N+Adj</v>
      </c>
      <c r="Y10">
        <v>2</v>
      </c>
      <c r="Z10" t="s">
        <v>43</v>
      </c>
    </row>
    <row r="11" spans="2:43">
      <c r="B11" t="s">
        <v>44</v>
      </c>
      <c r="C11">
        <v>5</v>
      </c>
      <c r="D11" t="s">
        <v>45</v>
      </c>
      <c r="E11">
        <v>1</v>
      </c>
      <c r="F11" t="s">
        <v>33</v>
      </c>
      <c r="G11" t="str">
        <f t="shared" si="0"/>
        <v>J5M</v>
      </c>
      <c r="H11" t="str">
        <f t="shared" si="1"/>
        <v>–</v>
      </c>
      <c r="I11" t="str">
        <f t="shared" si="2"/>
        <v>–</v>
      </c>
      <c r="K11" t="s">
        <v>35</v>
      </c>
      <c r="L11" t="s">
        <v>36</v>
      </c>
      <c r="M11" t="s">
        <v>170</v>
      </c>
      <c r="N11" t="s">
        <v>194</v>
      </c>
      <c r="O11" t="s">
        <v>195</v>
      </c>
      <c r="P11">
        <v>1</v>
      </c>
      <c r="Q11" t="s">
        <v>58</v>
      </c>
      <c r="R11" t="s">
        <v>99</v>
      </c>
      <c r="S11">
        <v>3</v>
      </c>
      <c r="T11">
        <v>1</v>
      </c>
      <c r="U11" t="str">
        <f t="shared" si="3"/>
        <v>3/1</v>
      </c>
      <c r="V11" t="s">
        <v>75</v>
      </c>
      <c r="W11" t="s">
        <v>75</v>
      </c>
      <c r="X11" t="str">
        <f t="shared" si="4"/>
        <v>V+V</v>
      </c>
      <c r="Y11">
        <v>1</v>
      </c>
    </row>
    <row r="12" spans="2:43" ht="15">
      <c r="B12" t="s">
        <v>44</v>
      </c>
      <c r="C12">
        <v>5</v>
      </c>
      <c r="D12" t="s">
        <v>32</v>
      </c>
      <c r="E12">
        <v>0</v>
      </c>
      <c r="F12" t="s">
        <v>33</v>
      </c>
      <c r="G12" t="str">
        <f t="shared" si="0"/>
        <v>J5Ž</v>
      </c>
      <c r="H12" t="str">
        <f t="shared" si="1"/>
        <v>–</v>
      </c>
      <c r="I12" t="str">
        <f t="shared" si="2"/>
        <v>–</v>
      </c>
      <c r="L12" t="s">
        <v>46</v>
      </c>
      <c r="M12" t="s">
        <v>173</v>
      </c>
      <c r="N12" t="s">
        <v>196</v>
      </c>
      <c r="O12" t="s">
        <v>175</v>
      </c>
      <c r="P12">
        <v>2</v>
      </c>
      <c r="Q12" t="s">
        <v>40</v>
      </c>
      <c r="R12" t="s">
        <v>32</v>
      </c>
      <c r="S12">
        <v>4</v>
      </c>
      <c r="T12">
        <v>2</v>
      </c>
      <c r="U12" t="str">
        <f t="shared" si="3"/>
        <v>4/2</v>
      </c>
      <c r="V12" t="s">
        <v>75</v>
      </c>
      <c r="W12" t="s">
        <v>75</v>
      </c>
      <c r="X12" t="str">
        <f t="shared" si="4"/>
        <v>V+V</v>
      </c>
      <c r="Y12">
        <v>0</v>
      </c>
      <c r="AB12" s="4" t="s">
        <v>84</v>
      </c>
      <c r="AC12" s="4" t="s">
        <v>85</v>
      </c>
    </row>
    <row r="13" spans="2:43">
      <c r="B13" t="s">
        <v>44</v>
      </c>
      <c r="C13">
        <v>5</v>
      </c>
      <c r="D13" t="s">
        <v>45</v>
      </c>
      <c r="E13">
        <v>1</v>
      </c>
      <c r="F13" t="s">
        <v>33</v>
      </c>
      <c r="G13" t="str">
        <f t="shared" si="0"/>
        <v>J5M</v>
      </c>
      <c r="H13" t="str">
        <f t="shared" si="1"/>
        <v>–</v>
      </c>
      <c r="I13" t="str">
        <f t="shared" si="2"/>
        <v>–</v>
      </c>
      <c r="K13" t="s">
        <v>35</v>
      </c>
      <c r="L13" t="s">
        <v>36</v>
      </c>
      <c r="M13" t="s">
        <v>197</v>
      </c>
      <c r="N13" t="s">
        <v>198</v>
      </c>
      <c r="O13" t="s">
        <v>199</v>
      </c>
      <c r="P13">
        <v>1</v>
      </c>
      <c r="Q13" t="s">
        <v>58</v>
      </c>
      <c r="R13" t="s">
        <v>45</v>
      </c>
      <c r="S13">
        <v>1</v>
      </c>
      <c r="T13">
        <v>1</v>
      </c>
      <c r="U13" t="str">
        <f t="shared" si="3"/>
        <v>1/1</v>
      </c>
      <c r="V13" t="s">
        <v>75</v>
      </c>
      <c r="W13" t="s">
        <v>75</v>
      </c>
      <c r="X13" t="str">
        <f t="shared" si="4"/>
        <v>V+V</v>
      </c>
      <c r="Y13">
        <v>0</v>
      </c>
      <c r="AB13" t="s">
        <v>16</v>
      </c>
      <c r="AC13" t="s">
        <v>17</v>
      </c>
      <c r="AD13" t="s">
        <v>18</v>
      </c>
      <c r="AE13" t="s">
        <v>19</v>
      </c>
      <c r="AF13" t="s">
        <v>20</v>
      </c>
      <c r="AG13" t="s">
        <v>21</v>
      </c>
      <c r="AH13" t="s">
        <v>22</v>
      </c>
      <c r="AI13" t="s">
        <v>10</v>
      </c>
      <c r="AJ13" t="s">
        <v>64</v>
      </c>
      <c r="AK13" t="s">
        <v>65</v>
      </c>
      <c r="AL13" t="s">
        <v>66</v>
      </c>
      <c r="AM13" t="s">
        <v>67</v>
      </c>
      <c r="AN13" t="s">
        <v>68</v>
      </c>
      <c r="AO13" t="s">
        <v>28</v>
      </c>
      <c r="AP13" t="s">
        <v>69</v>
      </c>
      <c r="AQ13" t="s">
        <v>91</v>
      </c>
    </row>
    <row r="14" spans="2:43">
      <c r="B14" t="s">
        <v>44</v>
      </c>
      <c r="C14">
        <v>5</v>
      </c>
      <c r="D14" t="s">
        <v>32</v>
      </c>
      <c r="E14">
        <v>1</v>
      </c>
      <c r="F14" t="s">
        <v>33</v>
      </c>
      <c r="G14" t="str">
        <f t="shared" si="0"/>
        <v>J5Ž</v>
      </c>
      <c r="H14" t="str">
        <f t="shared" si="1"/>
        <v>–</v>
      </c>
      <c r="I14" t="str">
        <f t="shared" si="2"/>
        <v>–</v>
      </c>
      <c r="L14" t="s">
        <v>46</v>
      </c>
      <c r="M14" t="s">
        <v>200</v>
      </c>
      <c r="N14" t="s">
        <v>201</v>
      </c>
      <c r="O14" t="s">
        <v>202</v>
      </c>
      <c r="P14">
        <v>2</v>
      </c>
      <c r="Q14" t="s">
        <v>40</v>
      </c>
      <c r="R14" t="s">
        <v>32</v>
      </c>
      <c r="S14">
        <v>2</v>
      </c>
      <c r="T14">
        <v>2</v>
      </c>
      <c r="U14" t="str">
        <f t="shared" si="3"/>
        <v>2/2</v>
      </c>
      <c r="V14" t="s">
        <v>41</v>
      </c>
      <c r="W14" t="s">
        <v>50</v>
      </c>
      <c r="X14" t="str">
        <f t="shared" si="4"/>
        <v>Adj+N</v>
      </c>
      <c r="Y14">
        <v>2</v>
      </c>
      <c r="AB14" t="s">
        <v>35</v>
      </c>
      <c r="AC14" t="s">
        <v>46</v>
      </c>
      <c r="AD14" t="s">
        <v>190</v>
      </c>
      <c r="AE14" t="s">
        <v>191</v>
      </c>
      <c r="AF14" t="s">
        <v>192</v>
      </c>
      <c r="AG14">
        <v>2</v>
      </c>
      <c r="AH14" t="s">
        <v>40</v>
      </c>
      <c r="AI14" t="s">
        <v>32</v>
      </c>
      <c r="AJ14">
        <v>2</v>
      </c>
      <c r="AK14">
        <v>4</v>
      </c>
      <c r="AL14" t="str">
        <f>_xlfn.CONCAT(AJ14,"/",AK14)</f>
        <v>2/4</v>
      </c>
      <c r="AM14" t="s">
        <v>50</v>
      </c>
      <c r="AN14" t="s">
        <v>41</v>
      </c>
      <c r="AO14" t="str">
        <f>_xlfn.CONCAT(AM14,"+",AN14)</f>
        <v>N+Adj</v>
      </c>
      <c r="AP14">
        <v>2</v>
      </c>
      <c r="AQ14" t="s">
        <v>77</v>
      </c>
    </row>
    <row r="15" spans="2:43">
      <c r="B15" t="s">
        <v>44</v>
      </c>
      <c r="C15">
        <v>5</v>
      </c>
      <c r="D15" t="s">
        <v>45</v>
      </c>
      <c r="E15">
        <v>0</v>
      </c>
      <c r="F15" t="s">
        <v>33</v>
      </c>
      <c r="G15" t="str">
        <f t="shared" si="0"/>
        <v>J5M</v>
      </c>
      <c r="H15" t="str">
        <f t="shared" si="1"/>
        <v>–</v>
      </c>
      <c r="I15" t="str">
        <f t="shared" si="2"/>
        <v>–</v>
      </c>
      <c r="K15" t="s">
        <v>35</v>
      </c>
      <c r="L15" t="s">
        <v>36</v>
      </c>
      <c r="M15" t="s">
        <v>203</v>
      </c>
      <c r="N15" t="s">
        <v>204</v>
      </c>
      <c r="O15" t="s">
        <v>205</v>
      </c>
      <c r="P15">
        <v>1</v>
      </c>
      <c r="Q15" t="s">
        <v>58</v>
      </c>
      <c r="R15" t="s">
        <v>45</v>
      </c>
      <c r="S15">
        <v>3</v>
      </c>
      <c r="T15">
        <v>1</v>
      </c>
      <c r="U15" t="str">
        <f t="shared" si="3"/>
        <v>3/1</v>
      </c>
      <c r="V15" t="s">
        <v>75</v>
      </c>
      <c r="W15" t="s">
        <v>50</v>
      </c>
      <c r="X15" t="str">
        <f t="shared" si="4"/>
        <v>V+N</v>
      </c>
      <c r="Y15">
        <v>2</v>
      </c>
      <c r="Z15" t="s">
        <v>206</v>
      </c>
    </row>
    <row r="16" spans="2:43">
      <c r="B16" t="s">
        <v>193</v>
      </c>
      <c r="C16">
        <v>4</v>
      </c>
      <c r="D16" t="s">
        <v>32</v>
      </c>
      <c r="E16" t="s">
        <v>33</v>
      </c>
      <c r="F16" t="s">
        <v>33</v>
      </c>
      <c r="G16" t="str">
        <f t="shared" si="0"/>
        <v>D4Ž</v>
      </c>
      <c r="H16" t="str">
        <f t="shared" si="1"/>
        <v>–</v>
      </c>
      <c r="I16" t="str">
        <f t="shared" si="2"/>
        <v>–</v>
      </c>
      <c r="L16" t="s">
        <v>46</v>
      </c>
      <c r="M16" t="s">
        <v>207</v>
      </c>
      <c r="N16" t="s">
        <v>208</v>
      </c>
      <c r="O16" t="s">
        <v>209</v>
      </c>
      <c r="P16">
        <v>2</v>
      </c>
      <c r="Q16" t="s">
        <v>40</v>
      </c>
      <c r="R16" t="s">
        <v>32</v>
      </c>
      <c r="S16">
        <v>4</v>
      </c>
      <c r="T16">
        <v>2</v>
      </c>
      <c r="U16" t="str">
        <f t="shared" si="3"/>
        <v>4/2</v>
      </c>
      <c r="V16" t="s">
        <v>75</v>
      </c>
      <c r="W16" t="s">
        <v>50</v>
      </c>
      <c r="X16" t="str">
        <f t="shared" si="4"/>
        <v>V+N</v>
      </c>
      <c r="Y16">
        <v>2</v>
      </c>
    </row>
    <row r="17" spans="2:26">
      <c r="B17" t="s">
        <v>44</v>
      </c>
      <c r="C17">
        <v>5</v>
      </c>
      <c r="D17" t="s">
        <v>45</v>
      </c>
      <c r="E17">
        <v>1</v>
      </c>
      <c r="F17" t="s">
        <v>33</v>
      </c>
      <c r="G17" t="str">
        <f t="shared" si="0"/>
        <v>J5M</v>
      </c>
      <c r="H17" t="str">
        <f t="shared" si="1"/>
        <v>–</v>
      </c>
      <c r="I17" t="str">
        <f t="shared" si="2"/>
        <v>–</v>
      </c>
    </row>
    <row r="18" spans="2:26">
      <c r="B18" t="s">
        <v>31</v>
      </c>
      <c r="C18">
        <v>5</v>
      </c>
      <c r="D18" t="s">
        <v>32</v>
      </c>
      <c r="E18" t="s">
        <v>33</v>
      </c>
      <c r="F18" t="s">
        <v>33</v>
      </c>
      <c r="G18" t="s">
        <v>210</v>
      </c>
      <c r="H18" t="str">
        <f t="shared" si="1"/>
        <v>–</v>
      </c>
      <c r="I18" t="str">
        <f t="shared" si="2"/>
        <v>–</v>
      </c>
    </row>
    <row r="19" spans="2:26">
      <c r="B19" t="s">
        <v>31</v>
      </c>
      <c r="C19">
        <v>4</v>
      </c>
      <c r="D19" t="s">
        <v>102</v>
      </c>
      <c r="E19" t="s">
        <v>33</v>
      </c>
      <c r="F19" t="s">
        <v>33</v>
      </c>
      <c r="G19" t="s">
        <v>211</v>
      </c>
      <c r="H19" t="str">
        <f t="shared" si="1"/>
        <v>–</v>
      </c>
      <c r="I19" t="str">
        <f t="shared" si="2"/>
        <v>–</v>
      </c>
    </row>
    <row r="20" spans="2:26">
      <c r="B20" t="s">
        <v>44</v>
      </c>
      <c r="C20">
        <v>5</v>
      </c>
      <c r="D20" t="s">
        <v>32</v>
      </c>
      <c r="E20">
        <v>1</v>
      </c>
      <c r="F20" t="s">
        <v>33</v>
      </c>
      <c r="G20" t="str">
        <f t="shared" si="0"/>
        <v>J5Ž</v>
      </c>
      <c r="H20" t="str">
        <f t="shared" si="1"/>
        <v>–</v>
      </c>
      <c r="I20" t="str">
        <f t="shared" si="2"/>
        <v>–</v>
      </c>
    </row>
    <row r="21" spans="2:26">
      <c r="B21" t="s">
        <v>44</v>
      </c>
      <c r="C21">
        <v>6</v>
      </c>
      <c r="D21" t="s">
        <v>45</v>
      </c>
      <c r="E21">
        <v>0</v>
      </c>
      <c r="F21">
        <v>0</v>
      </c>
      <c r="G21" t="str">
        <f t="shared" si="0"/>
        <v>alexandrín</v>
      </c>
      <c r="H21" t="str">
        <f t="shared" si="1"/>
        <v>mužský</v>
      </c>
      <c r="I21" t="str">
        <f t="shared" si="2"/>
        <v>alexandrínmužský</v>
      </c>
      <c r="K21" s="4"/>
      <c r="L21" s="19"/>
      <c r="M21" s="19"/>
    </row>
    <row r="22" spans="2:26">
      <c r="B22" t="s">
        <v>31</v>
      </c>
      <c r="C22">
        <v>5</v>
      </c>
      <c r="D22" t="s">
        <v>32</v>
      </c>
      <c r="E22" t="s">
        <v>33</v>
      </c>
      <c r="F22" t="s">
        <v>33</v>
      </c>
      <c r="G22" t="s">
        <v>212</v>
      </c>
      <c r="H22" t="str">
        <f t="shared" si="1"/>
        <v>–</v>
      </c>
      <c r="I22" t="str">
        <f t="shared" si="2"/>
        <v>–</v>
      </c>
    </row>
    <row r="23" spans="2:26">
      <c r="B23" t="s">
        <v>44</v>
      </c>
      <c r="C23">
        <v>5</v>
      </c>
      <c r="D23" t="s">
        <v>45</v>
      </c>
      <c r="E23">
        <v>0</v>
      </c>
      <c r="F23" t="s">
        <v>33</v>
      </c>
      <c r="G23" t="str">
        <f t="shared" si="0"/>
        <v>J5M</v>
      </c>
      <c r="H23" t="str">
        <f t="shared" si="1"/>
        <v>–</v>
      </c>
      <c r="I23" t="str">
        <f t="shared" si="2"/>
        <v>–</v>
      </c>
      <c r="Z23" s="17"/>
    </row>
    <row r="24" spans="2:26">
      <c r="B24" t="s">
        <v>44</v>
      </c>
      <c r="C24">
        <v>5</v>
      </c>
      <c r="D24" t="s">
        <v>32</v>
      </c>
      <c r="E24">
        <v>1</v>
      </c>
      <c r="F24" t="s">
        <v>33</v>
      </c>
      <c r="G24" t="str">
        <f t="shared" si="0"/>
        <v>J5Ž</v>
      </c>
      <c r="H24" t="str">
        <f t="shared" si="1"/>
        <v>–</v>
      </c>
      <c r="I24" t="str">
        <f t="shared" si="2"/>
        <v>–</v>
      </c>
    </row>
    <row r="25" spans="2:26">
      <c r="B25" t="s">
        <v>44</v>
      </c>
      <c r="C25">
        <v>6</v>
      </c>
      <c r="D25" t="s">
        <v>45</v>
      </c>
      <c r="E25">
        <v>0</v>
      </c>
      <c r="F25">
        <v>0</v>
      </c>
      <c r="G25" t="str">
        <f t="shared" si="0"/>
        <v>alexandrín</v>
      </c>
      <c r="H25" t="str">
        <f t="shared" si="1"/>
        <v>mužský</v>
      </c>
      <c r="I25" t="str">
        <f t="shared" si="2"/>
        <v>alexandrínmužský</v>
      </c>
    </row>
    <row r="26" spans="2:26">
      <c r="B26" t="s">
        <v>31</v>
      </c>
      <c r="C26">
        <v>5</v>
      </c>
      <c r="D26" t="s">
        <v>32</v>
      </c>
      <c r="E26" t="s">
        <v>33</v>
      </c>
      <c r="F26" t="s">
        <v>33</v>
      </c>
      <c r="G26" t="s">
        <v>213</v>
      </c>
      <c r="H26" t="str">
        <f t="shared" si="1"/>
        <v>–</v>
      </c>
      <c r="I26" t="str">
        <f t="shared" si="2"/>
        <v>–</v>
      </c>
    </row>
    <row r="27" spans="2:26">
      <c r="B27" t="s">
        <v>44</v>
      </c>
      <c r="C27">
        <v>5</v>
      </c>
      <c r="D27" t="s">
        <v>45</v>
      </c>
      <c r="E27">
        <v>1</v>
      </c>
      <c r="F27" t="s">
        <v>33</v>
      </c>
      <c r="G27" t="str">
        <f t="shared" si="0"/>
        <v>J5M</v>
      </c>
      <c r="H27" t="str">
        <f t="shared" si="1"/>
        <v>–</v>
      </c>
      <c r="I27" t="str">
        <f t="shared" si="2"/>
        <v>–</v>
      </c>
    </row>
    <row r="28" spans="2:26">
      <c r="B28" t="s">
        <v>44</v>
      </c>
      <c r="C28">
        <v>5</v>
      </c>
      <c r="D28" t="s">
        <v>32</v>
      </c>
      <c r="E28">
        <v>0</v>
      </c>
      <c r="F28" t="s">
        <v>33</v>
      </c>
      <c r="G28" t="str">
        <f>IF(OR(F28="x",ISBLANK(F28)),_xlfn.CONCAT(B28,C28,D28),"alexandrín")</f>
        <v>J5Ž</v>
      </c>
      <c r="H28" t="str">
        <f t="shared" si="1"/>
        <v>–</v>
      </c>
      <c r="I28" t="str">
        <f t="shared" si="2"/>
        <v>–</v>
      </c>
    </row>
    <row r="29" spans="2:26">
      <c r="B29" t="s">
        <v>31</v>
      </c>
      <c r="C29">
        <v>6</v>
      </c>
      <c r="D29" t="s">
        <v>32</v>
      </c>
      <c r="E29" t="s">
        <v>33</v>
      </c>
      <c r="F29" t="s">
        <v>33</v>
      </c>
      <c r="G29" t="s">
        <v>214</v>
      </c>
      <c r="H29" t="str">
        <f t="shared" si="1"/>
        <v>–</v>
      </c>
      <c r="I29" t="str">
        <f t="shared" si="2"/>
        <v>–</v>
      </c>
    </row>
    <row r="30" spans="2:26">
      <c r="B30" t="s">
        <v>31</v>
      </c>
      <c r="C30">
        <v>5</v>
      </c>
      <c r="D30" t="s">
        <v>32</v>
      </c>
      <c r="E30" t="s">
        <v>33</v>
      </c>
      <c r="F30" t="s">
        <v>33</v>
      </c>
      <c r="G30" t="s">
        <v>215</v>
      </c>
      <c r="H30" t="str">
        <f t="shared" si="1"/>
        <v>–</v>
      </c>
      <c r="I30" t="str">
        <f t="shared" si="2"/>
        <v>–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135EA-564A-4C45-92BB-7C1E7328833B}">
  <dimension ref="B1:AC22"/>
  <sheetViews>
    <sheetView topLeftCell="Q1" workbookViewId="0">
      <selection activeCell="AD13" sqref="AD13"/>
    </sheetView>
  </sheetViews>
  <sheetFormatPr defaultRowHeight="14.45"/>
  <cols>
    <col min="2" max="2" width="13.28515625" bestFit="1" customWidth="1"/>
    <col min="3" max="3" width="9.7109375" bestFit="1" customWidth="1"/>
    <col min="5" max="5" width="14.140625" bestFit="1" customWidth="1"/>
    <col min="6" max="6" width="40.42578125" bestFit="1" customWidth="1"/>
    <col min="7" max="7" width="9.42578125" bestFit="1" customWidth="1"/>
    <col min="8" max="8" width="23.42578125" bestFit="1" customWidth="1"/>
    <col min="9" max="9" width="15.42578125" bestFit="1" customWidth="1"/>
    <col min="11" max="11" width="14.85546875" customWidth="1"/>
    <col min="12" max="12" width="10.140625" customWidth="1"/>
    <col min="13" max="13" width="15" customWidth="1"/>
    <col min="14" max="14" width="14.42578125" customWidth="1"/>
    <col min="15" max="15" width="12" customWidth="1"/>
    <col min="16" max="16" width="17.5703125" customWidth="1"/>
    <col min="17" max="17" width="24.140625" customWidth="1"/>
    <col min="19" max="20" width="28" customWidth="1"/>
    <col min="21" max="21" width="21.85546875" customWidth="1"/>
    <col min="22" max="23" width="27.7109375" customWidth="1"/>
    <col min="24" max="24" width="26.42578125" customWidth="1"/>
    <col min="25" max="25" width="28.140625" customWidth="1"/>
    <col min="26" max="26" width="64.7109375" customWidth="1"/>
    <col min="27" max="27" width="12.85546875" customWidth="1"/>
    <col min="28" max="28" width="23.42578125" customWidth="1"/>
    <col min="29" max="29" width="22.42578125" customWidth="1"/>
    <col min="30" max="30" width="19.85546875" customWidth="1"/>
    <col min="31" max="31" width="16.85546875" customWidth="1"/>
    <col min="32" max="32" width="20.5703125" customWidth="1"/>
    <col min="33" max="33" width="18" customWidth="1"/>
    <col min="34" max="34" width="24.28515625" customWidth="1"/>
    <col min="35" max="35" width="14.5703125" customWidth="1"/>
    <col min="36" max="36" width="33.5703125" customWidth="1"/>
    <col min="37" max="37" width="34.7109375" customWidth="1"/>
    <col min="38" max="38" width="22.5703125" customWidth="1"/>
    <col min="39" max="39" width="35.140625" customWidth="1"/>
    <col min="40" max="40" width="29.28515625" customWidth="1"/>
    <col min="41" max="41" width="26.85546875" customWidth="1"/>
    <col min="42" max="42" width="28.140625" customWidth="1"/>
  </cols>
  <sheetData>
    <row r="1" spans="2:29">
      <c r="B1" s="1" t="s">
        <v>216</v>
      </c>
    </row>
    <row r="2" spans="2:29" ht="15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10</v>
      </c>
      <c r="S2" t="s">
        <v>64</v>
      </c>
      <c r="T2" t="s">
        <v>65</v>
      </c>
      <c r="U2" t="s">
        <v>66</v>
      </c>
      <c r="V2" t="s">
        <v>67</v>
      </c>
      <c r="W2" t="s">
        <v>68</v>
      </c>
      <c r="X2" t="s">
        <v>28</v>
      </c>
      <c r="Y2" t="s">
        <v>69</v>
      </c>
      <c r="Z2" t="s">
        <v>30</v>
      </c>
      <c r="AB2" s="4"/>
      <c r="AC2" s="4"/>
    </row>
    <row r="3" spans="2:29">
      <c r="B3" t="s">
        <v>44</v>
      </c>
      <c r="C3">
        <v>5</v>
      </c>
      <c r="D3" t="s">
        <v>32</v>
      </c>
      <c r="E3">
        <v>1</v>
      </c>
      <c r="F3" t="s">
        <v>33</v>
      </c>
      <c r="G3" t="str">
        <f>IF(OR(F3="x",ISBLANK(F3)),_xlfn.CONCAT(B3,C3,D3),"alexandrín")</f>
        <v>J5Ž</v>
      </c>
      <c r="H3" t="str">
        <f>IF(G3="alexandrín",IF(D3="Ž","ženský","mužský"),"–")</f>
        <v>–</v>
      </c>
      <c r="I3" t="str">
        <f>IF(G3="alexandrín",_xlfn.CONCAT(G3,H3),"–")</f>
        <v>–</v>
      </c>
      <c r="K3" t="s">
        <v>35</v>
      </c>
      <c r="L3" t="s">
        <v>36</v>
      </c>
      <c r="M3" t="s">
        <v>217</v>
      </c>
      <c r="N3" t="s">
        <v>218</v>
      </c>
      <c r="O3" t="s">
        <v>219</v>
      </c>
      <c r="P3">
        <v>2</v>
      </c>
      <c r="Q3" t="s">
        <v>58</v>
      </c>
      <c r="R3" t="s">
        <v>32</v>
      </c>
      <c r="S3">
        <v>2</v>
      </c>
      <c r="T3">
        <v>2</v>
      </c>
      <c r="U3" t="str">
        <f>_xlfn.CONCAT(S3,"/",T3)</f>
        <v>2/2</v>
      </c>
      <c r="V3" t="s">
        <v>50</v>
      </c>
      <c r="W3" t="s">
        <v>50</v>
      </c>
      <c r="X3" t="str">
        <f>_xlfn.CONCAT(V3,"+",W3)</f>
        <v>N+N</v>
      </c>
      <c r="Y3">
        <v>1</v>
      </c>
    </row>
    <row r="4" spans="2:29">
      <c r="B4" t="s">
        <v>44</v>
      </c>
      <c r="C4">
        <v>5</v>
      </c>
      <c r="D4" t="s">
        <v>45</v>
      </c>
      <c r="E4">
        <v>0</v>
      </c>
      <c r="F4" t="s">
        <v>33</v>
      </c>
      <c r="G4" t="str">
        <f t="shared" ref="G4:G22" si="0">IF(OR(F4="x",ISBLANK(F4)),_xlfn.CONCAT(B4,C4,D4),"alexandrín")</f>
        <v>J5M</v>
      </c>
      <c r="H4" t="str">
        <f t="shared" ref="H4:H22" si="1">IF(G4="alexandrín",IF(D4="Ž","ženský","mužský"),"–")</f>
        <v>–</v>
      </c>
      <c r="I4" t="str">
        <f t="shared" ref="I4:I22" si="2">IF(G4="alexandrín",_xlfn.CONCAT(G4,H4),"–")</f>
        <v>–</v>
      </c>
      <c r="L4" t="s">
        <v>46</v>
      </c>
      <c r="M4" t="s">
        <v>220</v>
      </c>
      <c r="N4" t="s">
        <v>221</v>
      </c>
      <c r="O4" t="s">
        <v>222</v>
      </c>
      <c r="P4">
        <v>1</v>
      </c>
      <c r="Q4" t="s">
        <v>58</v>
      </c>
      <c r="R4" t="s">
        <v>45</v>
      </c>
      <c r="S4">
        <v>1</v>
      </c>
      <c r="T4">
        <v>1</v>
      </c>
      <c r="U4" t="str">
        <f t="shared" ref="U4:U12" si="3">_xlfn.CONCAT(S4,"/",T4)</f>
        <v>1/1</v>
      </c>
      <c r="V4" t="s">
        <v>50</v>
      </c>
      <c r="W4" t="s">
        <v>75</v>
      </c>
      <c r="X4" t="str">
        <f t="shared" ref="X4:X12" si="4">_xlfn.CONCAT(V4,"+",W4)</f>
        <v>N+V</v>
      </c>
      <c r="Y4">
        <v>2</v>
      </c>
    </row>
    <row r="5" spans="2:29">
      <c r="B5" t="s">
        <v>44</v>
      </c>
      <c r="C5">
        <v>5</v>
      </c>
      <c r="D5" t="s">
        <v>32</v>
      </c>
      <c r="E5">
        <v>0</v>
      </c>
      <c r="F5" t="s">
        <v>33</v>
      </c>
      <c r="G5" t="str">
        <f t="shared" si="0"/>
        <v>J5Ž</v>
      </c>
      <c r="H5" t="str">
        <f t="shared" si="1"/>
        <v>–</v>
      </c>
      <c r="I5" t="str">
        <f t="shared" si="2"/>
        <v>–</v>
      </c>
      <c r="K5" t="s">
        <v>35</v>
      </c>
      <c r="L5" t="s">
        <v>36</v>
      </c>
      <c r="M5" t="s">
        <v>223</v>
      </c>
      <c r="N5" t="s">
        <v>224</v>
      </c>
      <c r="O5" t="s">
        <v>225</v>
      </c>
      <c r="P5">
        <v>2</v>
      </c>
      <c r="Q5" t="s">
        <v>58</v>
      </c>
      <c r="R5" t="s">
        <v>32</v>
      </c>
      <c r="S5">
        <v>2</v>
      </c>
      <c r="T5">
        <v>2</v>
      </c>
      <c r="U5" t="str">
        <f t="shared" si="3"/>
        <v>2/2</v>
      </c>
      <c r="V5" t="s">
        <v>89</v>
      </c>
      <c r="W5" t="s">
        <v>75</v>
      </c>
      <c r="X5" t="str">
        <f t="shared" si="4"/>
        <v>Adv+V</v>
      </c>
      <c r="Y5">
        <v>2</v>
      </c>
    </row>
    <row r="6" spans="2:29" ht="15">
      <c r="B6" t="s">
        <v>44</v>
      </c>
      <c r="C6">
        <v>5</v>
      </c>
      <c r="D6" t="s">
        <v>45</v>
      </c>
      <c r="E6">
        <v>0</v>
      </c>
      <c r="F6" t="s">
        <v>33</v>
      </c>
      <c r="G6" t="str">
        <f t="shared" si="0"/>
        <v>J5M</v>
      </c>
      <c r="H6" t="str">
        <f t="shared" si="1"/>
        <v>–</v>
      </c>
      <c r="I6" t="str">
        <f t="shared" si="2"/>
        <v>–</v>
      </c>
      <c r="L6" t="s">
        <v>46</v>
      </c>
      <c r="M6" t="s">
        <v>226</v>
      </c>
      <c r="N6" t="s">
        <v>227</v>
      </c>
      <c r="O6" t="s">
        <v>228</v>
      </c>
      <c r="P6">
        <v>1</v>
      </c>
      <c r="Q6" t="s">
        <v>40</v>
      </c>
      <c r="R6" t="s">
        <v>45</v>
      </c>
      <c r="S6">
        <v>3</v>
      </c>
      <c r="T6">
        <v>1</v>
      </c>
      <c r="U6" t="str">
        <f t="shared" si="3"/>
        <v>3/1</v>
      </c>
      <c r="V6" t="s">
        <v>41</v>
      </c>
      <c r="W6" t="s">
        <v>41</v>
      </c>
      <c r="X6" t="str">
        <f t="shared" si="4"/>
        <v>Adj+Adj</v>
      </c>
      <c r="Y6">
        <v>1</v>
      </c>
      <c r="AA6" s="3"/>
    </row>
    <row r="7" spans="2:29">
      <c r="B7" t="s">
        <v>44</v>
      </c>
      <c r="C7">
        <v>6</v>
      </c>
      <c r="D7" t="s">
        <v>32</v>
      </c>
      <c r="E7">
        <v>1</v>
      </c>
      <c r="F7">
        <v>0</v>
      </c>
      <c r="G7" t="str">
        <f t="shared" si="0"/>
        <v>alexandrín</v>
      </c>
      <c r="H7" t="str">
        <f t="shared" si="1"/>
        <v>ženský</v>
      </c>
      <c r="I7" t="str">
        <f t="shared" si="2"/>
        <v>alexandrínženský</v>
      </c>
      <c r="K7" t="s">
        <v>35</v>
      </c>
      <c r="L7" t="s">
        <v>36</v>
      </c>
      <c r="M7" t="s">
        <v>229</v>
      </c>
      <c r="N7" t="s">
        <v>230</v>
      </c>
      <c r="O7" t="s">
        <v>231</v>
      </c>
      <c r="P7">
        <v>2</v>
      </c>
      <c r="Q7" t="s">
        <v>58</v>
      </c>
      <c r="R7" t="s">
        <v>32</v>
      </c>
      <c r="S7">
        <v>2</v>
      </c>
      <c r="T7">
        <v>2</v>
      </c>
      <c r="U7" t="str">
        <f t="shared" si="3"/>
        <v>2/2</v>
      </c>
      <c r="V7" t="s">
        <v>50</v>
      </c>
      <c r="W7" t="s">
        <v>50</v>
      </c>
      <c r="X7" t="str">
        <f t="shared" si="4"/>
        <v>N+N</v>
      </c>
      <c r="Y7">
        <v>0</v>
      </c>
    </row>
    <row r="8" spans="2:29">
      <c r="B8" t="s">
        <v>44</v>
      </c>
      <c r="C8">
        <v>5</v>
      </c>
      <c r="D8" t="s">
        <v>45</v>
      </c>
      <c r="E8">
        <v>0</v>
      </c>
      <c r="F8" t="s">
        <v>33</v>
      </c>
      <c r="G8" t="str">
        <f t="shared" si="0"/>
        <v>J5M</v>
      </c>
      <c r="H8" t="str">
        <f t="shared" si="1"/>
        <v>–</v>
      </c>
      <c r="I8" t="str">
        <f t="shared" si="2"/>
        <v>–</v>
      </c>
      <c r="L8" t="s">
        <v>46</v>
      </c>
      <c r="M8" t="s">
        <v>232</v>
      </c>
      <c r="N8" t="s">
        <v>233</v>
      </c>
      <c r="O8" t="s">
        <v>234</v>
      </c>
      <c r="P8">
        <v>1</v>
      </c>
      <c r="Q8" t="s">
        <v>58</v>
      </c>
      <c r="R8" t="s">
        <v>45</v>
      </c>
      <c r="S8">
        <v>1</v>
      </c>
      <c r="T8">
        <v>3</v>
      </c>
      <c r="U8" t="str">
        <f t="shared" si="3"/>
        <v>1/3</v>
      </c>
      <c r="V8" t="s">
        <v>50</v>
      </c>
      <c r="W8" t="s">
        <v>50</v>
      </c>
      <c r="X8" t="str">
        <f t="shared" si="4"/>
        <v>N+N</v>
      </c>
      <c r="Y8">
        <v>1</v>
      </c>
    </row>
    <row r="9" spans="2:29">
      <c r="B9" t="s">
        <v>44</v>
      </c>
      <c r="C9">
        <v>5</v>
      </c>
      <c r="D9" t="s">
        <v>32</v>
      </c>
      <c r="E9">
        <v>0</v>
      </c>
      <c r="F9" t="s">
        <v>33</v>
      </c>
      <c r="G9" t="str">
        <f t="shared" si="0"/>
        <v>J5Ž</v>
      </c>
      <c r="H9" t="str">
        <f t="shared" si="1"/>
        <v>–</v>
      </c>
      <c r="I9" t="str">
        <f t="shared" si="2"/>
        <v>–</v>
      </c>
      <c r="K9" t="s">
        <v>35</v>
      </c>
      <c r="L9" t="s">
        <v>36</v>
      </c>
      <c r="M9" t="s">
        <v>235</v>
      </c>
      <c r="N9" t="s">
        <v>236</v>
      </c>
      <c r="O9" t="s">
        <v>237</v>
      </c>
      <c r="P9">
        <v>2</v>
      </c>
      <c r="Q9" t="s">
        <v>58</v>
      </c>
      <c r="R9" t="s">
        <v>32</v>
      </c>
      <c r="S9">
        <v>2</v>
      </c>
      <c r="T9">
        <v>5</v>
      </c>
      <c r="U9" t="str">
        <f t="shared" si="3"/>
        <v>2/5</v>
      </c>
      <c r="V9" t="s">
        <v>89</v>
      </c>
      <c r="W9" t="s">
        <v>75</v>
      </c>
      <c r="X9" t="str">
        <f t="shared" si="4"/>
        <v>Adv+V</v>
      </c>
      <c r="Y9">
        <v>2</v>
      </c>
    </row>
    <row r="10" spans="2:29">
      <c r="B10" t="s">
        <v>44</v>
      </c>
      <c r="C10">
        <v>5</v>
      </c>
      <c r="D10" t="s">
        <v>45</v>
      </c>
      <c r="E10">
        <v>0</v>
      </c>
      <c r="F10" t="s">
        <v>33</v>
      </c>
      <c r="G10" t="str">
        <f t="shared" si="0"/>
        <v>J5M</v>
      </c>
      <c r="H10" t="str">
        <f t="shared" si="1"/>
        <v>–</v>
      </c>
      <c r="I10" t="str">
        <f t="shared" si="2"/>
        <v>–</v>
      </c>
      <c r="L10" t="s">
        <v>46</v>
      </c>
      <c r="M10" t="s">
        <v>238</v>
      </c>
      <c r="N10" t="s">
        <v>239</v>
      </c>
      <c r="O10" t="s">
        <v>240</v>
      </c>
      <c r="P10">
        <v>1</v>
      </c>
      <c r="Q10" t="s">
        <v>58</v>
      </c>
      <c r="R10" t="s">
        <v>45</v>
      </c>
      <c r="S10">
        <v>1</v>
      </c>
      <c r="T10">
        <v>3</v>
      </c>
      <c r="U10" t="str">
        <f t="shared" si="3"/>
        <v>1/3</v>
      </c>
      <c r="V10" t="s">
        <v>50</v>
      </c>
      <c r="W10" t="s">
        <v>75</v>
      </c>
      <c r="X10" t="str">
        <f t="shared" si="4"/>
        <v>N+V</v>
      </c>
      <c r="Y10">
        <v>2</v>
      </c>
    </row>
    <row r="11" spans="2:29">
      <c r="B11" t="s">
        <v>44</v>
      </c>
      <c r="C11">
        <v>6</v>
      </c>
      <c r="D11" t="s">
        <v>32</v>
      </c>
      <c r="E11">
        <v>1</v>
      </c>
      <c r="F11">
        <v>1</v>
      </c>
      <c r="G11" t="str">
        <f t="shared" si="0"/>
        <v>alexandrín</v>
      </c>
      <c r="H11" t="str">
        <f t="shared" si="1"/>
        <v>ženský</v>
      </c>
      <c r="I11" t="str">
        <f t="shared" si="2"/>
        <v>alexandrínženský</v>
      </c>
      <c r="K11" t="s">
        <v>35</v>
      </c>
      <c r="L11" t="s">
        <v>36</v>
      </c>
      <c r="M11" t="s">
        <v>223</v>
      </c>
      <c r="N11" t="s">
        <v>224</v>
      </c>
      <c r="O11" t="s">
        <v>225</v>
      </c>
      <c r="P11">
        <v>2</v>
      </c>
      <c r="Q11" t="s">
        <v>58</v>
      </c>
      <c r="R11" t="s">
        <v>32</v>
      </c>
      <c r="S11">
        <v>2</v>
      </c>
      <c r="T11">
        <v>2</v>
      </c>
      <c r="U11" t="str">
        <f t="shared" si="3"/>
        <v>2/2</v>
      </c>
      <c r="V11" t="s">
        <v>89</v>
      </c>
      <c r="W11" t="s">
        <v>75</v>
      </c>
      <c r="X11" t="str">
        <f t="shared" si="4"/>
        <v>Adv+V</v>
      </c>
      <c r="Y11">
        <v>2</v>
      </c>
    </row>
    <row r="12" spans="2:29">
      <c r="B12" t="s">
        <v>44</v>
      </c>
      <c r="C12">
        <v>6</v>
      </c>
      <c r="D12" t="s">
        <v>45</v>
      </c>
      <c r="E12">
        <v>0</v>
      </c>
      <c r="F12">
        <v>1</v>
      </c>
      <c r="G12" t="str">
        <f t="shared" si="0"/>
        <v>alexandrín</v>
      </c>
      <c r="H12" t="str">
        <f t="shared" si="1"/>
        <v>mužský</v>
      </c>
      <c r="I12" t="str">
        <f t="shared" si="2"/>
        <v>alexandrínmužský</v>
      </c>
      <c r="L12" t="s">
        <v>46</v>
      </c>
      <c r="M12" t="s">
        <v>241</v>
      </c>
      <c r="N12" t="s">
        <v>221</v>
      </c>
      <c r="O12" t="s">
        <v>242</v>
      </c>
      <c r="P12">
        <v>1</v>
      </c>
      <c r="Q12" t="s">
        <v>58</v>
      </c>
      <c r="R12" t="s">
        <v>45</v>
      </c>
      <c r="S12">
        <v>1</v>
      </c>
      <c r="T12">
        <v>1</v>
      </c>
      <c r="U12" t="str">
        <f t="shared" si="3"/>
        <v>1/1</v>
      </c>
      <c r="V12" t="s">
        <v>75</v>
      </c>
      <c r="W12" t="s">
        <v>75</v>
      </c>
      <c r="X12" t="str">
        <f t="shared" si="4"/>
        <v>V+V</v>
      </c>
      <c r="Y12">
        <v>1</v>
      </c>
    </row>
    <row r="13" spans="2:29">
      <c r="B13" t="s">
        <v>44</v>
      </c>
      <c r="C13">
        <v>6</v>
      </c>
      <c r="D13" t="s">
        <v>32</v>
      </c>
      <c r="E13">
        <v>0</v>
      </c>
      <c r="F13">
        <v>0</v>
      </c>
      <c r="G13" t="str">
        <f t="shared" si="0"/>
        <v>alexandrín</v>
      </c>
      <c r="H13" t="str">
        <f t="shared" si="1"/>
        <v>ženský</v>
      </c>
      <c r="I13" t="str">
        <f t="shared" si="2"/>
        <v>alexandrínženský</v>
      </c>
    </row>
    <row r="14" spans="2:29">
      <c r="B14" t="s">
        <v>44</v>
      </c>
      <c r="C14">
        <v>5</v>
      </c>
      <c r="D14" t="s">
        <v>45</v>
      </c>
      <c r="E14">
        <v>0</v>
      </c>
      <c r="F14" t="s">
        <v>33</v>
      </c>
      <c r="G14" t="str">
        <f t="shared" si="0"/>
        <v>J5M</v>
      </c>
      <c r="H14" t="str">
        <f t="shared" si="1"/>
        <v>–</v>
      </c>
      <c r="I14" t="str">
        <f t="shared" si="2"/>
        <v>–</v>
      </c>
    </row>
    <row r="15" spans="2:29">
      <c r="B15" t="s">
        <v>44</v>
      </c>
      <c r="C15">
        <v>6</v>
      </c>
      <c r="D15" t="s">
        <v>32</v>
      </c>
      <c r="E15">
        <v>1</v>
      </c>
      <c r="F15">
        <v>0</v>
      </c>
      <c r="G15" t="str">
        <f t="shared" si="0"/>
        <v>alexandrín</v>
      </c>
      <c r="H15" t="str">
        <f t="shared" si="1"/>
        <v>ženský</v>
      </c>
      <c r="I15" t="str">
        <f t="shared" si="2"/>
        <v>alexandrínženský</v>
      </c>
    </row>
    <row r="16" spans="2:29">
      <c r="B16" t="s">
        <v>44</v>
      </c>
      <c r="C16">
        <v>5</v>
      </c>
      <c r="D16" t="s">
        <v>45</v>
      </c>
      <c r="E16">
        <v>0</v>
      </c>
      <c r="F16" t="s">
        <v>33</v>
      </c>
      <c r="G16" t="str">
        <f t="shared" si="0"/>
        <v>J5M</v>
      </c>
      <c r="H16" t="str">
        <f t="shared" si="1"/>
        <v>–</v>
      </c>
      <c r="I16" t="str">
        <f t="shared" si="2"/>
        <v>–</v>
      </c>
    </row>
    <row r="17" spans="2:9">
      <c r="B17" t="s">
        <v>31</v>
      </c>
      <c r="C17">
        <v>4</v>
      </c>
      <c r="D17" t="s">
        <v>32</v>
      </c>
      <c r="E17" t="s">
        <v>33</v>
      </c>
      <c r="F17" t="s">
        <v>33</v>
      </c>
      <c r="G17" t="s">
        <v>243</v>
      </c>
      <c r="H17" t="str">
        <f t="shared" si="1"/>
        <v>–</v>
      </c>
      <c r="I17" t="str">
        <f t="shared" si="2"/>
        <v>–</v>
      </c>
    </row>
    <row r="18" spans="2:9">
      <c r="B18" t="s">
        <v>101</v>
      </c>
      <c r="C18">
        <v>3</v>
      </c>
      <c r="D18" t="s">
        <v>102</v>
      </c>
      <c r="E18" t="s">
        <v>33</v>
      </c>
      <c r="F18" t="s">
        <v>33</v>
      </c>
      <c r="G18" t="str">
        <f t="shared" si="0"/>
        <v>pD3A</v>
      </c>
      <c r="H18" t="str">
        <f t="shared" si="1"/>
        <v>–</v>
      </c>
      <c r="I18" t="str">
        <f t="shared" si="2"/>
        <v>–</v>
      </c>
    </row>
    <row r="19" spans="2:9">
      <c r="B19" t="s">
        <v>44</v>
      </c>
      <c r="C19">
        <v>6</v>
      </c>
      <c r="D19" t="s">
        <v>32</v>
      </c>
      <c r="E19">
        <v>1</v>
      </c>
      <c r="F19">
        <v>0</v>
      </c>
      <c r="G19" t="str">
        <f t="shared" si="0"/>
        <v>alexandrín</v>
      </c>
      <c r="H19" t="str">
        <f t="shared" si="1"/>
        <v>ženský</v>
      </c>
      <c r="I19" t="str">
        <f t="shared" si="2"/>
        <v>alexandrínženský</v>
      </c>
    </row>
    <row r="20" spans="2:9">
      <c r="B20" t="s">
        <v>44</v>
      </c>
      <c r="C20">
        <v>5</v>
      </c>
      <c r="D20" t="s">
        <v>45</v>
      </c>
      <c r="E20">
        <v>1</v>
      </c>
      <c r="F20" t="s">
        <v>33</v>
      </c>
      <c r="G20" t="str">
        <f t="shared" si="0"/>
        <v>J5M</v>
      </c>
      <c r="H20" t="str">
        <f t="shared" si="1"/>
        <v>–</v>
      </c>
      <c r="I20" t="str">
        <f t="shared" si="2"/>
        <v>–</v>
      </c>
    </row>
    <row r="21" spans="2:9">
      <c r="B21" t="s">
        <v>44</v>
      </c>
      <c r="C21">
        <v>5</v>
      </c>
      <c r="D21" t="s">
        <v>32</v>
      </c>
      <c r="E21">
        <v>0</v>
      </c>
      <c r="F21" t="s">
        <v>33</v>
      </c>
      <c r="G21" t="str">
        <f t="shared" si="0"/>
        <v>J5Ž</v>
      </c>
      <c r="H21" t="str">
        <f t="shared" si="1"/>
        <v>–</v>
      </c>
      <c r="I21" t="str">
        <f t="shared" si="2"/>
        <v>–</v>
      </c>
    </row>
    <row r="22" spans="2:9">
      <c r="B22" t="s">
        <v>44</v>
      </c>
      <c r="C22">
        <v>5</v>
      </c>
      <c r="D22" t="s">
        <v>45</v>
      </c>
      <c r="E22">
        <v>0</v>
      </c>
      <c r="F22" t="s">
        <v>33</v>
      </c>
      <c r="G22" t="str">
        <f t="shared" si="0"/>
        <v>J5M</v>
      </c>
      <c r="H22" t="str">
        <f t="shared" si="1"/>
        <v>–</v>
      </c>
      <c r="I22" t="str">
        <f t="shared" si="2"/>
        <v>–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C4F1-D347-4530-9B57-B7FD89B8C373}">
  <dimension ref="B1:AQ34"/>
  <sheetViews>
    <sheetView topLeftCell="Z1" workbookViewId="0">
      <selection activeCell="AQ10" sqref="AQ10"/>
    </sheetView>
  </sheetViews>
  <sheetFormatPr defaultRowHeight="14.45"/>
  <cols>
    <col min="2" max="2" width="10.85546875" bestFit="1" customWidth="1"/>
    <col min="3" max="3" width="9.7109375" bestFit="1" customWidth="1"/>
    <col min="5" max="5" width="14.140625" bestFit="1" customWidth="1"/>
    <col min="6" max="6" width="40.42578125" bestFit="1" customWidth="1"/>
    <col min="7" max="7" width="9.42578125" bestFit="1" customWidth="1"/>
    <col min="8" max="8" width="23.42578125" bestFit="1" customWidth="1"/>
    <col min="9" max="9" width="15.42578125" bestFit="1" customWidth="1"/>
    <col min="11" max="11" width="15.28515625" customWidth="1"/>
    <col min="12" max="12" width="10.42578125" customWidth="1"/>
    <col min="13" max="13" width="14.42578125" customWidth="1"/>
    <col min="14" max="14" width="14.85546875" customWidth="1"/>
    <col min="15" max="15" width="12" customWidth="1"/>
    <col min="16" max="16" width="17.5703125" customWidth="1"/>
    <col min="17" max="17" width="24.28515625" customWidth="1"/>
    <col min="19" max="19" width="27.85546875" customWidth="1"/>
    <col min="20" max="20" width="28.28515625" customWidth="1"/>
    <col min="21" max="21" width="22" customWidth="1"/>
    <col min="22" max="22" width="27.85546875" customWidth="1"/>
    <col min="23" max="23" width="28.42578125" customWidth="1"/>
    <col min="24" max="24" width="26.140625" customWidth="1"/>
    <col min="25" max="25" width="28.140625" customWidth="1"/>
    <col min="26" max="26" width="41" customWidth="1"/>
    <col min="28" max="28" width="15" bestFit="1" customWidth="1"/>
    <col min="29" max="29" width="20.5703125" customWidth="1"/>
    <col min="30" max="31" width="14.85546875" bestFit="1" customWidth="1"/>
    <col min="32" max="32" width="11.5703125" bestFit="1" customWidth="1"/>
    <col min="33" max="33" width="18.28515625" bestFit="1" customWidth="1"/>
    <col min="34" max="34" width="25.42578125" bestFit="1" customWidth="1"/>
    <col min="36" max="37" width="29.42578125" bestFit="1" customWidth="1"/>
    <col min="38" max="38" width="23" bestFit="1" customWidth="1"/>
    <col min="39" max="40" width="29.42578125" bestFit="1" customWidth="1"/>
    <col min="41" max="41" width="28.140625" bestFit="1" customWidth="1"/>
    <col min="42" max="42" width="29.85546875" bestFit="1" customWidth="1"/>
    <col min="43" max="43" width="20.42578125" bestFit="1" customWidth="1"/>
  </cols>
  <sheetData>
    <row r="1" spans="2:43">
      <c r="B1" s="1" t="s">
        <v>244</v>
      </c>
    </row>
    <row r="2" spans="2:43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10</v>
      </c>
      <c r="S2" t="s">
        <v>64</v>
      </c>
      <c r="T2" t="s">
        <v>65</v>
      </c>
      <c r="U2" t="s">
        <v>66</v>
      </c>
      <c r="V2" t="s">
        <v>67</v>
      </c>
      <c r="W2" t="s">
        <v>68</v>
      </c>
      <c r="X2" t="s">
        <v>28</v>
      </c>
      <c r="Y2" t="s">
        <v>69</v>
      </c>
      <c r="Z2" t="s">
        <v>30</v>
      </c>
      <c r="AB2" s="4" t="s">
        <v>105</v>
      </c>
      <c r="AC2" s="18" t="s">
        <v>106</v>
      </c>
      <c r="AD2" s="18"/>
    </row>
    <row r="3" spans="2:43">
      <c r="B3" t="s">
        <v>44</v>
      </c>
      <c r="C3">
        <v>5</v>
      </c>
      <c r="D3" t="s">
        <v>32</v>
      </c>
      <c r="E3">
        <v>0</v>
      </c>
      <c r="F3" t="s">
        <v>33</v>
      </c>
      <c r="G3" t="str">
        <f>IF(OR(F3="x",ISBLANK(F3)),_xlfn.CONCAT(B3,C3,D3),"alexandrín")</f>
        <v>J5Ž</v>
      </c>
      <c r="H3" t="str">
        <f>IF(G3="alexandrín",IF(D3="Ž","ženský","mužský"),"–")</f>
        <v>–</v>
      </c>
      <c r="I3" t="str">
        <f>IF(G3="alexandrín",_xlfn.CONCAT(G3,H3),"–")</f>
        <v>–</v>
      </c>
      <c r="K3" t="s">
        <v>35</v>
      </c>
      <c r="L3" t="s">
        <v>36</v>
      </c>
      <c r="M3" t="s">
        <v>245</v>
      </c>
      <c r="N3" t="s">
        <v>246</v>
      </c>
      <c r="O3" t="s">
        <v>247</v>
      </c>
      <c r="P3">
        <v>2</v>
      </c>
      <c r="Q3" t="s">
        <v>40</v>
      </c>
      <c r="R3" t="s">
        <v>32</v>
      </c>
      <c r="S3">
        <v>2</v>
      </c>
      <c r="T3">
        <v>6</v>
      </c>
      <c r="U3" t="str">
        <f>_xlfn.CONCAT(S3,"/",T3)</f>
        <v>2/6</v>
      </c>
      <c r="V3" t="s">
        <v>42</v>
      </c>
      <c r="W3" t="s">
        <v>41</v>
      </c>
      <c r="X3" t="str">
        <f>_xlfn.CONCAT(V3,"+",W3)</f>
        <v>Pron+Adj</v>
      </c>
      <c r="Y3">
        <v>2</v>
      </c>
      <c r="AB3" t="s">
        <v>16</v>
      </c>
      <c r="AC3" t="s">
        <v>17</v>
      </c>
      <c r="AD3" t="s">
        <v>18</v>
      </c>
      <c r="AE3" t="s">
        <v>19</v>
      </c>
      <c r="AF3" t="s">
        <v>20</v>
      </c>
      <c r="AG3" t="s">
        <v>21</v>
      </c>
      <c r="AH3" t="s">
        <v>22</v>
      </c>
      <c r="AI3" t="s">
        <v>10</v>
      </c>
      <c r="AJ3" t="s">
        <v>64</v>
      </c>
      <c r="AK3" t="s">
        <v>65</v>
      </c>
      <c r="AL3" t="s">
        <v>66</v>
      </c>
      <c r="AM3" t="s">
        <v>67</v>
      </c>
      <c r="AN3" t="s">
        <v>68</v>
      </c>
      <c r="AO3" t="s">
        <v>28</v>
      </c>
      <c r="AP3" t="s">
        <v>69</v>
      </c>
      <c r="AQ3" t="s">
        <v>107</v>
      </c>
    </row>
    <row r="4" spans="2:43">
      <c r="B4" t="s">
        <v>44</v>
      </c>
      <c r="C4">
        <v>5</v>
      </c>
      <c r="D4" t="s">
        <v>45</v>
      </c>
      <c r="E4">
        <v>0</v>
      </c>
      <c r="F4" t="s">
        <v>33</v>
      </c>
      <c r="G4" t="str">
        <f t="shared" ref="G4:G34" si="0">IF(OR(F4="x",ISBLANK(F4)),_xlfn.CONCAT(B4,C4,D4),"alexandrín")</f>
        <v>J5M</v>
      </c>
      <c r="H4" t="str">
        <f t="shared" ref="H4:H34" si="1">IF(G4="alexandrín",IF(D4="Ž","ženský","mužský"),"–")</f>
        <v>–</v>
      </c>
      <c r="I4" t="str">
        <f t="shared" ref="I4:I34" si="2">IF(G4="alexandrín",_xlfn.CONCAT(G4,H4),"–")</f>
        <v>–</v>
      </c>
      <c r="L4" t="s">
        <v>46</v>
      </c>
      <c r="M4" t="s">
        <v>248</v>
      </c>
      <c r="N4" t="s">
        <v>249</v>
      </c>
      <c r="O4" t="s">
        <v>250</v>
      </c>
      <c r="P4">
        <v>2</v>
      </c>
      <c r="Q4" t="s">
        <v>40</v>
      </c>
      <c r="R4" t="s">
        <v>45</v>
      </c>
      <c r="S4">
        <v>3</v>
      </c>
      <c r="T4">
        <v>3</v>
      </c>
      <c r="U4" t="str">
        <f t="shared" ref="U4:U18" si="3">_xlfn.CONCAT(S4,"/",T4)</f>
        <v>3/3</v>
      </c>
      <c r="V4" t="s">
        <v>75</v>
      </c>
      <c r="W4" t="s">
        <v>50</v>
      </c>
      <c r="X4" t="str">
        <f t="shared" ref="X4:X18" si="4">_xlfn.CONCAT(V4,"+",W4)</f>
        <v>V+N</v>
      </c>
      <c r="Y4">
        <v>2</v>
      </c>
      <c r="AB4" t="s">
        <v>35</v>
      </c>
      <c r="AC4" t="s">
        <v>46</v>
      </c>
      <c r="AD4" t="s">
        <v>251</v>
      </c>
      <c r="AE4" t="s">
        <v>252</v>
      </c>
      <c r="AF4" t="s">
        <v>253</v>
      </c>
      <c r="AG4" s="10">
        <v>1</v>
      </c>
      <c r="AH4" t="s">
        <v>58</v>
      </c>
      <c r="AI4" t="s">
        <v>45</v>
      </c>
      <c r="AJ4">
        <v>1</v>
      </c>
      <c r="AK4">
        <v>1</v>
      </c>
      <c r="AL4" t="str">
        <f t="shared" ref="AL4" si="5">_xlfn.CONCAT(AJ4,"/",AK4)</f>
        <v>1/1</v>
      </c>
      <c r="AM4" t="s">
        <v>50</v>
      </c>
      <c r="AN4" t="s">
        <v>50</v>
      </c>
      <c r="AO4" t="str">
        <f t="shared" ref="AO4" si="6">_xlfn.CONCAT(AM4,"+",AN4)</f>
        <v>N+N</v>
      </c>
      <c r="AP4">
        <v>0</v>
      </c>
      <c r="AQ4" t="s">
        <v>114</v>
      </c>
    </row>
    <row r="5" spans="2:43">
      <c r="B5" t="s">
        <v>44</v>
      </c>
      <c r="C5">
        <v>5</v>
      </c>
      <c r="D5" t="s">
        <v>32</v>
      </c>
      <c r="E5">
        <v>0</v>
      </c>
      <c r="F5" t="s">
        <v>33</v>
      </c>
      <c r="G5" t="str">
        <f t="shared" si="0"/>
        <v>J5Ž</v>
      </c>
      <c r="H5" t="str">
        <f t="shared" si="1"/>
        <v>–</v>
      </c>
      <c r="I5" t="str">
        <f t="shared" si="2"/>
        <v>–</v>
      </c>
      <c r="K5" t="s">
        <v>35</v>
      </c>
      <c r="L5" t="s">
        <v>36</v>
      </c>
      <c r="M5" t="s">
        <v>254</v>
      </c>
      <c r="N5" t="s">
        <v>255</v>
      </c>
      <c r="O5" t="s">
        <v>256</v>
      </c>
      <c r="P5">
        <v>2</v>
      </c>
      <c r="Q5" t="s">
        <v>40</v>
      </c>
      <c r="R5" t="s">
        <v>32</v>
      </c>
      <c r="S5">
        <v>2</v>
      </c>
      <c r="T5">
        <v>4</v>
      </c>
      <c r="U5" t="str">
        <f t="shared" si="3"/>
        <v>2/4</v>
      </c>
      <c r="V5" t="s">
        <v>50</v>
      </c>
      <c r="W5" t="s">
        <v>50</v>
      </c>
      <c r="X5" t="str">
        <f t="shared" si="4"/>
        <v>N+N</v>
      </c>
      <c r="Y5">
        <v>1</v>
      </c>
      <c r="Z5" t="s">
        <v>122</v>
      </c>
    </row>
    <row r="6" spans="2:43">
      <c r="B6" t="s">
        <v>44</v>
      </c>
      <c r="C6">
        <v>5</v>
      </c>
      <c r="D6" t="s">
        <v>45</v>
      </c>
      <c r="E6">
        <v>0</v>
      </c>
      <c r="F6" t="s">
        <v>33</v>
      </c>
      <c r="G6" t="str">
        <f t="shared" si="0"/>
        <v>J5M</v>
      </c>
      <c r="H6" t="str">
        <f t="shared" si="1"/>
        <v>–</v>
      </c>
      <c r="I6" t="str">
        <f t="shared" si="2"/>
        <v>–</v>
      </c>
      <c r="L6" t="s">
        <v>115</v>
      </c>
      <c r="P6" s="10"/>
    </row>
    <row r="7" spans="2:43" ht="15">
      <c r="B7" t="s">
        <v>44</v>
      </c>
      <c r="C7">
        <v>5</v>
      </c>
      <c r="D7" t="s">
        <v>32</v>
      </c>
      <c r="E7">
        <v>0</v>
      </c>
      <c r="F7" t="s">
        <v>33</v>
      </c>
      <c r="G7" t="str">
        <f t="shared" si="0"/>
        <v>J5Ž</v>
      </c>
      <c r="H7" t="str">
        <f t="shared" si="1"/>
        <v>–</v>
      </c>
      <c r="I7" t="str">
        <f t="shared" si="2"/>
        <v>–</v>
      </c>
      <c r="K7" t="s">
        <v>35</v>
      </c>
      <c r="L7" t="s">
        <v>36</v>
      </c>
      <c r="M7" t="s">
        <v>257</v>
      </c>
      <c r="N7" t="s">
        <v>258</v>
      </c>
      <c r="O7" t="s">
        <v>259</v>
      </c>
      <c r="P7">
        <v>2</v>
      </c>
      <c r="Q7" t="s">
        <v>40</v>
      </c>
      <c r="R7" t="s">
        <v>32</v>
      </c>
      <c r="S7">
        <v>2</v>
      </c>
      <c r="T7">
        <v>2</v>
      </c>
      <c r="U7" t="str">
        <f t="shared" si="3"/>
        <v>2/2</v>
      </c>
      <c r="V7" t="s">
        <v>50</v>
      </c>
      <c r="W7" t="s">
        <v>41</v>
      </c>
      <c r="X7" t="str">
        <f t="shared" si="4"/>
        <v>N+Adj</v>
      </c>
      <c r="Y7">
        <v>2</v>
      </c>
      <c r="AB7" s="4" t="s">
        <v>59</v>
      </c>
      <c r="AC7" s="4" t="s">
        <v>60</v>
      </c>
    </row>
    <row r="8" spans="2:43">
      <c r="B8" t="s">
        <v>44</v>
      </c>
      <c r="C8">
        <v>5</v>
      </c>
      <c r="D8" t="s">
        <v>45</v>
      </c>
      <c r="E8">
        <v>1</v>
      </c>
      <c r="F8" t="s">
        <v>33</v>
      </c>
      <c r="G8" t="str">
        <f t="shared" si="0"/>
        <v>J5M</v>
      </c>
      <c r="H8" t="str">
        <f t="shared" si="1"/>
        <v>–</v>
      </c>
      <c r="I8" t="str">
        <f t="shared" si="2"/>
        <v>–</v>
      </c>
      <c r="L8" t="s">
        <v>46</v>
      </c>
      <c r="M8" t="s">
        <v>260</v>
      </c>
      <c r="N8" t="s">
        <v>261</v>
      </c>
      <c r="O8" t="s">
        <v>262</v>
      </c>
      <c r="P8">
        <v>1</v>
      </c>
      <c r="Q8" t="s">
        <v>40</v>
      </c>
      <c r="R8" t="s">
        <v>45</v>
      </c>
      <c r="S8">
        <v>1</v>
      </c>
      <c r="T8">
        <v>3</v>
      </c>
      <c r="U8" t="str">
        <f t="shared" si="3"/>
        <v>1/3</v>
      </c>
      <c r="V8" t="s">
        <v>50</v>
      </c>
      <c r="W8" t="s">
        <v>50</v>
      </c>
      <c r="X8" t="str">
        <f t="shared" si="4"/>
        <v>N+N</v>
      </c>
      <c r="Y8">
        <v>0</v>
      </c>
      <c r="AB8" t="s">
        <v>16</v>
      </c>
      <c r="AC8" t="s">
        <v>17</v>
      </c>
      <c r="AD8" t="s">
        <v>18</v>
      </c>
      <c r="AE8" t="s">
        <v>19</v>
      </c>
      <c r="AF8" t="s">
        <v>20</v>
      </c>
      <c r="AG8" t="s">
        <v>21</v>
      </c>
      <c r="AH8" t="s">
        <v>22</v>
      </c>
      <c r="AI8" t="s">
        <v>10</v>
      </c>
      <c r="AJ8" t="s">
        <v>64</v>
      </c>
      <c r="AK8" t="s">
        <v>65</v>
      </c>
      <c r="AL8" t="s">
        <v>66</v>
      </c>
      <c r="AM8" t="s">
        <v>67</v>
      </c>
      <c r="AN8" t="s">
        <v>68</v>
      </c>
      <c r="AO8" t="s">
        <v>28</v>
      </c>
      <c r="AP8" t="s">
        <v>69</v>
      </c>
      <c r="AQ8" t="s">
        <v>70</v>
      </c>
    </row>
    <row r="9" spans="2:43">
      <c r="B9" t="s">
        <v>44</v>
      </c>
      <c r="C9">
        <v>5</v>
      </c>
      <c r="D9" t="s">
        <v>32</v>
      </c>
      <c r="E9">
        <v>0</v>
      </c>
      <c r="F9" t="s">
        <v>33</v>
      </c>
      <c r="G9" t="str">
        <f t="shared" si="0"/>
        <v>J5Ž</v>
      </c>
      <c r="H9" t="str">
        <f t="shared" si="1"/>
        <v>–</v>
      </c>
      <c r="I9" t="str">
        <f t="shared" si="2"/>
        <v>–</v>
      </c>
      <c r="K9" t="s">
        <v>35</v>
      </c>
      <c r="L9" t="s">
        <v>36</v>
      </c>
      <c r="M9" t="s">
        <v>263</v>
      </c>
      <c r="N9" t="s">
        <v>264</v>
      </c>
      <c r="O9" t="s">
        <v>265</v>
      </c>
      <c r="P9">
        <v>2</v>
      </c>
      <c r="Q9" t="s">
        <v>40</v>
      </c>
      <c r="R9" t="s">
        <v>32</v>
      </c>
      <c r="S9">
        <v>2</v>
      </c>
      <c r="T9">
        <v>2</v>
      </c>
      <c r="U9" t="str">
        <f t="shared" si="3"/>
        <v>2/2</v>
      </c>
      <c r="V9" t="s">
        <v>50</v>
      </c>
      <c r="W9" t="s">
        <v>41</v>
      </c>
      <c r="X9" t="str">
        <f t="shared" si="4"/>
        <v>N+Adj</v>
      </c>
      <c r="Y9">
        <v>2</v>
      </c>
      <c r="AB9" t="s">
        <v>35</v>
      </c>
      <c r="AC9" t="s">
        <v>36</v>
      </c>
      <c r="AD9" t="s">
        <v>254</v>
      </c>
      <c r="AE9" t="s">
        <v>255</v>
      </c>
      <c r="AF9" t="s">
        <v>266</v>
      </c>
      <c r="AG9">
        <v>2</v>
      </c>
      <c r="AH9" t="s">
        <v>40</v>
      </c>
      <c r="AI9" t="s">
        <v>32</v>
      </c>
      <c r="AJ9">
        <v>2</v>
      </c>
      <c r="AK9">
        <v>4</v>
      </c>
      <c r="AL9" t="str">
        <f>_xlfn.CONCAT(AJ9,"/",AK9)</f>
        <v>2/4</v>
      </c>
      <c r="AM9" t="s">
        <v>50</v>
      </c>
      <c r="AN9" t="s">
        <v>50</v>
      </c>
      <c r="AO9" t="str">
        <f>_xlfn.CONCAT(AM9,"+",AN9)</f>
        <v>N+N</v>
      </c>
      <c r="AP9">
        <v>2</v>
      </c>
      <c r="AQ9" t="s">
        <v>135</v>
      </c>
    </row>
    <row r="10" spans="2:43">
      <c r="B10" t="s">
        <v>44</v>
      </c>
      <c r="C10">
        <v>5</v>
      </c>
      <c r="D10" t="s">
        <v>45</v>
      </c>
      <c r="E10">
        <v>0</v>
      </c>
      <c r="F10" t="s">
        <v>33</v>
      </c>
      <c r="G10" t="str">
        <f t="shared" si="0"/>
        <v>J5M</v>
      </c>
      <c r="H10" t="str">
        <f t="shared" si="1"/>
        <v>–</v>
      </c>
      <c r="I10" t="str">
        <f t="shared" si="2"/>
        <v>–</v>
      </c>
      <c r="L10" t="s">
        <v>46</v>
      </c>
      <c r="M10" t="s">
        <v>267</v>
      </c>
      <c r="N10" t="s">
        <v>268</v>
      </c>
      <c r="O10" t="s">
        <v>269</v>
      </c>
      <c r="P10">
        <v>1</v>
      </c>
      <c r="Q10" t="s">
        <v>58</v>
      </c>
      <c r="R10" t="s">
        <v>45</v>
      </c>
      <c r="S10">
        <v>3</v>
      </c>
      <c r="T10">
        <v>1</v>
      </c>
      <c r="U10" t="str">
        <f t="shared" si="3"/>
        <v>3/1</v>
      </c>
      <c r="V10" t="s">
        <v>41</v>
      </c>
      <c r="W10" t="s">
        <v>42</v>
      </c>
      <c r="X10" t="str">
        <f t="shared" si="4"/>
        <v>Adj+Pron</v>
      </c>
      <c r="Y10">
        <v>2</v>
      </c>
      <c r="AB10" t="s">
        <v>35</v>
      </c>
      <c r="AC10" t="s">
        <v>46</v>
      </c>
      <c r="AD10" t="s">
        <v>270</v>
      </c>
      <c r="AE10" t="s">
        <v>271</v>
      </c>
      <c r="AF10" t="s">
        <v>272</v>
      </c>
      <c r="AG10">
        <v>1</v>
      </c>
      <c r="AH10" t="s">
        <v>58</v>
      </c>
      <c r="AI10" t="s">
        <v>45</v>
      </c>
      <c r="AJ10">
        <v>1</v>
      </c>
      <c r="AK10">
        <v>1</v>
      </c>
      <c r="AL10" t="str">
        <f>_xlfn.CONCAT(AJ10,"/",AK10)</f>
        <v>1/1</v>
      </c>
      <c r="AM10" t="s">
        <v>50</v>
      </c>
      <c r="AN10" t="s">
        <v>50</v>
      </c>
      <c r="AO10" t="str">
        <f>_xlfn.CONCAT(AM10,"+",AN10)</f>
        <v>N+N</v>
      </c>
      <c r="AP10">
        <v>1</v>
      </c>
      <c r="AQ10" t="s">
        <v>135</v>
      </c>
    </row>
    <row r="11" spans="2:43">
      <c r="B11" t="s">
        <v>44</v>
      </c>
      <c r="C11">
        <v>5</v>
      </c>
      <c r="D11" t="s">
        <v>32</v>
      </c>
      <c r="E11">
        <v>0</v>
      </c>
      <c r="F11" t="s">
        <v>33</v>
      </c>
      <c r="G11" t="str">
        <f t="shared" si="0"/>
        <v>J5Ž</v>
      </c>
      <c r="H11" t="str">
        <f t="shared" si="1"/>
        <v>–</v>
      </c>
      <c r="I11" t="str">
        <f t="shared" si="2"/>
        <v>–</v>
      </c>
      <c r="K11" t="s">
        <v>35</v>
      </c>
      <c r="L11" t="s">
        <v>36</v>
      </c>
      <c r="M11" t="s">
        <v>273</v>
      </c>
      <c r="N11" t="s">
        <v>274</v>
      </c>
      <c r="O11" t="s">
        <v>275</v>
      </c>
      <c r="P11">
        <v>2</v>
      </c>
      <c r="Q11" t="s">
        <v>40</v>
      </c>
      <c r="R11" t="s">
        <v>32</v>
      </c>
      <c r="S11">
        <v>2</v>
      </c>
      <c r="T11">
        <v>2</v>
      </c>
      <c r="U11" t="str">
        <f t="shared" si="3"/>
        <v>2/2</v>
      </c>
      <c r="V11" t="s">
        <v>50</v>
      </c>
      <c r="W11" t="s">
        <v>75</v>
      </c>
      <c r="X11" t="str">
        <f t="shared" si="4"/>
        <v>N+V</v>
      </c>
      <c r="Y11">
        <v>2</v>
      </c>
    </row>
    <row r="12" spans="2:43">
      <c r="B12" t="s">
        <v>44</v>
      </c>
      <c r="C12">
        <v>5</v>
      </c>
      <c r="D12" t="s">
        <v>45</v>
      </c>
      <c r="E12">
        <v>0</v>
      </c>
      <c r="F12" t="s">
        <v>33</v>
      </c>
      <c r="G12" t="str">
        <f t="shared" si="0"/>
        <v>J5M</v>
      </c>
      <c r="H12" t="str">
        <f t="shared" si="1"/>
        <v>–</v>
      </c>
      <c r="I12" t="str">
        <f t="shared" si="2"/>
        <v>–</v>
      </c>
      <c r="L12" t="s">
        <v>46</v>
      </c>
      <c r="M12" t="s">
        <v>276</v>
      </c>
      <c r="N12" t="s">
        <v>277</v>
      </c>
      <c r="O12" t="s">
        <v>278</v>
      </c>
      <c r="P12">
        <v>1</v>
      </c>
      <c r="Q12" t="s">
        <v>40</v>
      </c>
      <c r="R12" t="s">
        <v>45</v>
      </c>
      <c r="S12">
        <v>1</v>
      </c>
      <c r="T12">
        <v>3</v>
      </c>
      <c r="U12" t="str">
        <f t="shared" si="3"/>
        <v>1/3</v>
      </c>
      <c r="V12" t="s">
        <v>50</v>
      </c>
      <c r="W12" t="s">
        <v>50</v>
      </c>
      <c r="X12" t="str">
        <f t="shared" si="4"/>
        <v>N+N</v>
      </c>
      <c r="Y12">
        <v>0</v>
      </c>
    </row>
    <row r="13" spans="2:43">
      <c r="B13" t="s">
        <v>44</v>
      </c>
      <c r="C13">
        <v>5</v>
      </c>
      <c r="D13" t="s">
        <v>32</v>
      </c>
      <c r="E13">
        <v>0</v>
      </c>
      <c r="F13" t="s">
        <v>33</v>
      </c>
      <c r="G13" t="str">
        <f t="shared" si="0"/>
        <v>J5Ž</v>
      </c>
      <c r="H13" t="str">
        <f t="shared" si="1"/>
        <v>–</v>
      </c>
      <c r="I13" t="str">
        <f t="shared" si="2"/>
        <v>–</v>
      </c>
      <c r="K13" t="s">
        <v>35</v>
      </c>
      <c r="L13" t="s">
        <v>36</v>
      </c>
      <c r="M13" t="s">
        <v>279</v>
      </c>
      <c r="N13" t="s">
        <v>280</v>
      </c>
      <c r="O13" t="s">
        <v>281</v>
      </c>
      <c r="P13">
        <v>2</v>
      </c>
      <c r="Q13" t="s">
        <v>58</v>
      </c>
      <c r="R13" t="s">
        <v>32</v>
      </c>
      <c r="S13">
        <v>2</v>
      </c>
      <c r="T13">
        <v>2</v>
      </c>
      <c r="U13" t="str">
        <f t="shared" si="3"/>
        <v>2/2</v>
      </c>
      <c r="V13" t="s">
        <v>50</v>
      </c>
      <c r="W13" t="s">
        <v>50</v>
      </c>
      <c r="X13" t="str">
        <f t="shared" si="4"/>
        <v>N+N</v>
      </c>
      <c r="Y13">
        <v>0</v>
      </c>
    </row>
    <row r="14" spans="2:43">
      <c r="B14" t="s">
        <v>44</v>
      </c>
      <c r="C14">
        <v>5</v>
      </c>
      <c r="D14" t="s">
        <v>45</v>
      </c>
      <c r="E14">
        <v>2</v>
      </c>
      <c r="F14" t="s">
        <v>33</v>
      </c>
      <c r="G14" t="str">
        <f t="shared" si="0"/>
        <v>J5M</v>
      </c>
      <c r="H14" t="str">
        <f t="shared" si="1"/>
        <v>–</v>
      </c>
      <c r="I14" t="str">
        <f t="shared" si="2"/>
        <v>–</v>
      </c>
      <c r="L14" t="s">
        <v>46</v>
      </c>
      <c r="M14" t="s">
        <v>282</v>
      </c>
      <c r="N14" t="s">
        <v>271</v>
      </c>
      <c r="O14" t="s">
        <v>283</v>
      </c>
      <c r="P14">
        <v>1</v>
      </c>
      <c r="Q14" t="s">
        <v>58</v>
      </c>
      <c r="R14" t="s">
        <v>146</v>
      </c>
      <c r="S14">
        <v>1</v>
      </c>
      <c r="T14">
        <v>1</v>
      </c>
      <c r="U14" t="str">
        <f t="shared" si="3"/>
        <v>1/1</v>
      </c>
      <c r="V14" t="s">
        <v>50</v>
      </c>
      <c r="W14" t="s">
        <v>50</v>
      </c>
      <c r="X14" t="str">
        <f t="shared" si="4"/>
        <v>N+N</v>
      </c>
      <c r="Y14">
        <v>1</v>
      </c>
      <c r="Z14" t="s">
        <v>122</v>
      </c>
    </row>
    <row r="15" spans="2:43">
      <c r="B15" t="s">
        <v>44</v>
      </c>
      <c r="C15">
        <v>5</v>
      </c>
      <c r="D15" t="s">
        <v>32</v>
      </c>
      <c r="E15">
        <v>1</v>
      </c>
      <c r="F15" t="s">
        <v>33</v>
      </c>
      <c r="G15" t="str">
        <f t="shared" si="0"/>
        <v>J5Ž</v>
      </c>
      <c r="H15" t="str">
        <f t="shared" si="1"/>
        <v>–</v>
      </c>
      <c r="I15" t="str">
        <f t="shared" si="2"/>
        <v>–</v>
      </c>
      <c r="K15" t="s">
        <v>35</v>
      </c>
      <c r="L15" t="s">
        <v>36</v>
      </c>
      <c r="M15" t="s">
        <v>284</v>
      </c>
      <c r="O15" t="s">
        <v>285</v>
      </c>
      <c r="P15">
        <v>2</v>
      </c>
      <c r="Q15" t="s">
        <v>40</v>
      </c>
      <c r="R15" t="s">
        <v>32</v>
      </c>
      <c r="S15">
        <v>2</v>
      </c>
      <c r="T15">
        <v>2</v>
      </c>
      <c r="U15" t="str">
        <f t="shared" si="3"/>
        <v>2/2</v>
      </c>
      <c r="V15" t="s">
        <v>50</v>
      </c>
      <c r="W15" t="s">
        <v>75</v>
      </c>
      <c r="X15" t="str">
        <f t="shared" si="4"/>
        <v>N+V</v>
      </c>
      <c r="Y15">
        <v>2</v>
      </c>
    </row>
    <row r="16" spans="2:43">
      <c r="B16" t="s">
        <v>44</v>
      </c>
      <c r="C16">
        <v>5</v>
      </c>
      <c r="D16" t="s">
        <v>45</v>
      </c>
      <c r="E16">
        <v>1</v>
      </c>
      <c r="F16" t="s">
        <v>33</v>
      </c>
      <c r="G16" t="str">
        <f t="shared" si="0"/>
        <v>J5M</v>
      </c>
      <c r="H16" t="str">
        <f t="shared" si="1"/>
        <v>–</v>
      </c>
      <c r="I16" t="str">
        <f t="shared" si="2"/>
        <v>–</v>
      </c>
      <c r="L16" t="s">
        <v>46</v>
      </c>
      <c r="M16" t="s">
        <v>286</v>
      </c>
      <c r="N16" t="s">
        <v>287</v>
      </c>
      <c r="O16" t="s">
        <v>288</v>
      </c>
      <c r="P16">
        <v>2</v>
      </c>
      <c r="Q16" t="s">
        <v>40</v>
      </c>
      <c r="R16" t="s">
        <v>45</v>
      </c>
      <c r="S16">
        <v>3</v>
      </c>
      <c r="T16">
        <v>3</v>
      </c>
      <c r="U16" t="str">
        <f t="shared" si="3"/>
        <v>3/3</v>
      </c>
      <c r="V16" t="s">
        <v>50</v>
      </c>
      <c r="W16" t="s">
        <v>75</v>
      </c>
      <c r="X16" t="str">
        <f t="shared" si="4"/>
        <v>N+V</v>
      </c>
      <c r="Y16">
        <v>2</v>
      </c>
    </row>
    <row r="17" spans="2:25">
      <c r="B17" t="s">
        <v>44</v>
      </c>
      <c r="C17">
        <v>5</v>
      </c>
      <c r="D17" t="s">
        <v>32</v>
      </c>
      <c r="E17">
        <v>0</v>
      </c>
      <c r="F17" t="s">
        <v>33</v>
      </c>
      <c r="G17" t="str">
        <f t="shared" si="0"/>
        <v>J5Ž</v>
      </c>
      <c r="H17" t="str">
        <f t="shared" si="1"/>
        <v>–</v>
      </c>
      <c r="I17" t="str">
        <f t="shared" si="2"/>
        <v>–</v>
      </c>
      <c r="K17" t="s">
        <v>35</v>
      </c>
      <c r="L17" t="s">
        <v>36</v>
      </c>
      <c r="M17" t="s">
        <v>263</v>
      </c>
      <c r="N17" t="s">
        <v>264</v>
      </c>
      <c r="O17" t="s">
        <v>265</v>
      </c>
      <c r="P17">
        <v>2</v>
      </c>
      <c r="Q17" t="s">
        <v>40</v>
      </c>
      <c r="R17" t="s">
        <v>32</v>
      </c>
      <c r="S17">
        <v>2</v>
      </c>
      <c r="T17">
        <v>2</v>
      </c>
      <c r="U17" t="str">
        <f t="shared" si="3"/>
        <v>2/2</v>
      </c>
      <c r="V17" t="s">
        <v>50</v>
      </c>
      <c r="W17" t="s">
        <v>41</v>
      </c>
      <c r="X17" t="str">
        <f t="shared" si="4"/>
        <v>N+Adj</v>
      </c>
      <c r="Y17">
        <v>2</v>
      </c>
    </row>
    <row r="18" spans="2:25">
      <c r="B18" t="s">
        <v>44</v>
      </c>
      <c r="C18">
        <v>5</v>
      </c>
      <c r="D18" t="s">
        <v>45</v>
      </c>
      <c r="E18">
        <v>0</v>
      </c>
      <c r="F18" t="s">
        <v>33</v>
      </c>
      <c r="G18" t="str">
        <f t="shared" si="0"/>
        <v>J5M</v>
      </c>
      <c r="H18" t="str">
        <f t="shared" si="1"/>
        <v>–</v>
      </c>
      <c r="I18" t="str">
        <f t="shared" si="2"/>
        <v>–</v>
      </c>
      <c r="L18" t="s">
        <v>46</v>
      </c>
      <c r="M18" t="s">
        <v>148</v>
      </c>
      <c r="N18" t="s">
        <v>289</v>
      </c>
      <c r="O18" t="s">
        <v>290</v>
      </c>
      <c r="P18">
        <v>1</v>
      </c>
      <c r="Q18" t="s">
        <v>58</v>
      </c>
      <c r="R18" t="s">
        <v>146</v>
      </c>
      <c r="S18">
        <v>1</v>
      </c>
      <c r="T18">
        <v>3</v>
      </c>
      <c r="U18" t="str">
        <f t="shared" si="3"/>
        <v>1/3</v>
      </c>
      <c r="V18" t="s">
        <v>50</v>
      </c>
      <c r="W18" t="s">
        <v>75</v>
      </c>
      <c r="X18" t="str">
        <f t="shared" si="4"/>
        <v>N+V</v>
      </c>
      <c r="Y18">
        <v>2</v>
      </c>
    </row>
    <row r="19" spans="2:25">
      <c r="B19" t="s">
        <v>44</v>
      </c>
      <c r="C19">
        <v>5</v>
      </c>
      <c r="D19" t="s">
        <v>32</v>
      </c>
      <c r="E19">
        <v>0</v>
      </c>
      <c r="F19" t="s">
        <v>33</v>
      </c>
      <c r="G19" t="str">
        <f t="shared" si="0"/>
        <v>J5Ž</v>
      </c>
      <c r="H19" t="str">
        <f t="shared" si="1"/>
        <v>–</v>
      </c>
      <c r="I19" t="str">
        <f t="shared" si="2"/>
        <v>–</v>
      </c>
    </row>
    <row r="20" spans="2:25">
      <c r="B20" t="s">
        <v>44</v>
      </c>
      <c r="C20">
        <v>5</v>
      </c>
      <c r="D20" t="s">
        <v>45</v>
      </c>
      <c r="E20">
        <v>0</v>
      </c>
      <c r="F20" t="s">
        <v>33</v>
      </c>
      <c r="G20" t="str">
        <f t="shared" si="0"/>
        <v>J5M</v>
      </c>
      <c r="H20" t="str">
        <f t="shared" si="1"/>
        <v>–</v>
      </c>
      <c r="I20" t="str">
        <f t="shared" si="2"/>
        <v>–</v>
      </c>
    </row>
    <row r="21" spans="2:25">
      <c r="B21" t="s">
        <v>44</v>
      </c>
      <c r="C21">
        <v>5</v>
      </c>
      <c r="D21" t="s">
        <v>32</v>
      </c>
      <c r="E21">
        <v>0</v>
      </c>
      <c r="F21" t="s">
        <v>33</v>
      </c>
      <c r="G21" t="str">
        <f t="shared" si="0"/>
        <v>J5Ž</v>
      </c>
      <c r="H21" t="str">
        <f t="shared" si="1"/>
        <v>–</v>
      </c>
      <c r="I21" t="str">
        <f t="shared" si="2"/>
        <v>–</v>
      </c>
    </row>
    <row r="22" spans="2:25">
      <c r="B22" t="s">
        <v>44</v>
      </c>
      <c r="C22">
        <v>5</v>
      </c>
      <c r="D22" t="s">
        <v>45</v>
      </c>
      <c r="E22">
        <v>1</v>
      </c>
      <c r="F22" t="s">
        <v>33</v>
      </c>
      <c r="G22" t="str">
        <f t="shared" si="0"/>
        <v>J5M</v>
      </c>
      <c r="H22" t="str">
        <f t="shared" si="1"/>
        <v>–</v>
      </c>
      <c r="I22" t="str">
        <f t="shared" si="2"/>
        <v>–</v>
      </c>
      <c r="K22" s="4"/>
      <c r="L22" s="19"/>
      <c r="M22" s="19"/>
    </row>
    <row r="23" spans="2:25">
      <c r="B23" t="s">
        <v>44</v>
      </c>
      <c r="C23">
        <v>6</v>
      </c>
      <c r="D23" t="s">
        <v>32</v>
      </c>
      <c r="E23">
        <v>1</v>
      </c>
      <c r="F23">
        <v>0</v>
      </c>
      <c r="G23" t="str">
        <f t="shared" si="0"/>
        <v>alexandrín</v>
      </c>
      <c r="H23" t="str">
        <f t="shared" si="1"/>
        <v>ženský</v>
      </c>
      <c r="I23" t="str">
        <f t="shared" si="2"/>
        <v>alexandrínženský</v>
      </c>
    </row>
    <row r="24" spans="2:25">
      <c r="B24" t="s">
        <v>44</v>
      </c>
      <c r="C24">
        <v>6</v>
      </c>
      <c r="D24" t="s">
        <v>45</v>
      </c>
      <c r="E24">
        <v>0</v>
      </c>
      <c r="F24">
        <v>0</v>
      </c>
      <c r="G24" t="str">
        <f t="shared" si="0"/>
        <v>alexandrín</v>
      </c>
      <c r="H24" t="str">
        <f t="shared" si="1"/>
        <v>mužský</v>
      </c>
      <c r="I24" t="str">
        <f t="shared" si="2"/>
        <v>alexandrínmužský</v>
      </c>
      <c r="P24" s="10"/>
    </row>
    <row r="25" spans="2:25">
      <c r="B25" t="s">
        <v>31</v>
      </c>
      <c r="C25">
        <v>5</v>
      </c>
      <c r="D25" t="s">
        <v>32</v>
      </c>
      <c r="E25" t="s">
        <v>33</v>
      </c>
      <c r="F25" t="s">
        <v>33</v>
      </c>
      <c r="G25" t="s">
        <v>34</v>
      </c>
      <c r="H25" t="str">
        <f t="shared" si="1"/>
        <v>–</v>
      </c>
      <c r="I25" t="str">
        <f t="shared" si="2"/>
        <v>–</v>
      </c>
    </row>
    <row r="26" spans="2:25">
      <c r="B26" t="s">
        <v>101</v>
      </c>
      <c r="C26">
        <v>3</v>
      </c>
      <c r="D26" t="s">
        <v>102</v>
      </c>
      <c r="E26" t="s">
        <v>33</v>
      </c>
      <c r="F26" t="s">
        <v>33</v>
      </c>
      <c r="G26" t="s">
        <v>291</v>
      </c>
      <c r="H26" t="str">
        <f t="shared" si="1"/>
        <v>–</v>
      </c>
      <c r="I26" t="str">
        <f t="shared" si="2"/>
        <v>–</v>
      </c>
    </row>
    <row r="27" spans="2:25">
      <c r="B27" t="s">
        <v>44</v>
      </c>
      <c r="C27">
        <v>6</v>
      </c>
      <c r="D27" t="s">
        <v>32</v>
      </c>
      <c r="E27">
        <v>0</v>
      </c>
      <c r="F27">
        <v>0</v>
      </c>
      <c r="G27" t="str">
        <f t="shared" si="0"/>
        <v>alexandrín</v>
      </c>
      <c r="H27" t="str">
        <f t="shared" si="1"/>
        <v>ženský</v>
      </c>
      <c r="I27" t="str">
        <f t="shared" si="2"/>
        <v>alexandrínženský</v>
      </c>
    </row>
    <row r="28" spans="2:25">
      <c r="B28" t="s">
        <v>44</v>
      </c>
      <c r="C28">
        <v>5</v>
      </c>
      <c r="D28" t="s">
        <v>45</v>
      </c>
      <c r="E28">
        <v>0</v>
      </c>
      <c r="F28" t="s">
        <v>33</v>
      </c>
      <c r="G28" t="str">
        <f t="shared" si="0"/>
        <v>J5M</v>
      </c>
      <c r="H28" t="str">
        <f t="shared" si="1"/>
        <v>–</v>
      </c>
      <c r="I28" t="str">
        <f t="shared" si="2"/>
        <v>–</v>
      </c>
    </row>
    <row r="29" spans="2:25">
      <c r="B29" t="s">
        <v>44</v>
      </c>
      <c r="C29">
        <v>6</v>
      </c>
      <c r="D29" t="s">
        <v>32</v>
      </c>
      <c r="E29">
        <v>1</v>
      </c>
      <c r="F29">
        <v>0</v>
      </c>
      <c r="G29" t="str">
        <f t="shared" si="0"/>
        <v>alexandrín</v>
      </c>
      <c r="H29" t="str">
        <f t="shared" si="1"/>
        <v>ženský</v>
      </c>
      <c r="I29" t="str">
        <f t="shared" si="2"/>
        <v>alexandrínženský</v>
      </c>
    </row>
    <row r="30" spans="2:25">
      <c r="B30" t="s">
        <v>44</v>
      </c>
      <c r="C30">
        <v>5</v>
      </c>
      <c r="D30" t="s">
        <v>45</v>
      </c>
      <c r="E30">
        <v>0</v>
      </c>
      <c r="F30" t="s">
        <v>33</v>
      </c>
      <c r="G30" t="str">
        <f t="shared" si="0"/>
        <v>J5M</v>
      </c>
      <c r="H30" t="str">
        <f t="shared" si="1"/>
        <v>–</v>
      </c>
      <c r="I30" t="str">
        <f t="shared" si="2"/>
        <v>–</v>
      </c>
    </row>
    <row r="31" spans="2:25">
      <c r="B31" t="s">
        <v>44</v>
      </c>
      <c r="C31">
        <v>5</v>
      </c>
      <c r="D31" t="s">
        <v>32</v>
      </c>
      <c r="E31">
        <v>0</v>
      </c>
      <c r="F31" t="s">
        <v>33</v>
      </c>
      <c r="G31" t="str">
        <f t="shared" si="0"/>
        <v>J5Ž</v>
      </c>
      <c r="H31" t="str">
        <f t="shared" si="1"/>
        <v>–</v>
      </c>
      <c r="I31" t="str">
        <f t="shared" si="2"/>
        <v>–</v>
      </c>
    </row>
    <row r="32" spans="2:25">
      <c r="B32" t="s">
        <v>44</v>
      </c>
      <c r="C32">
        <v>5</v>
      </c>
      <c r="D32" t="s">
        <v>45</v>
      </c>
      <c r="E32">
        <v>0</v>
      </c>
      <c r="F32" t="s">
        <v>33</v>
      </c>
      <c r="G32" t="str">
        <f t="shared" si="0"/>
        <v>J5M</v>
      </c>
      <c r="H32" t="str">
        <f t="shared" si="1"/>
        <v>–</v>
      </c>
      <c r="I32" t="str">
        <f t="shared" si="2"/>
        <v>–</v>
      </c>
    </row>
    <row r="33" spans="2:9">
      <c r="B33" t="s">
        <v>44</v>
      </c>
      <c r="C33">
        <v>5</v>
      </c>
      <c r="D33" t="s">
        <v>32</v>
      </c>
      <c r="E33">
        <v>0</v>
      </c>
      <c r="F33" t="s">
        <v>33</v>
      </c>
      <c r="G33" t="str">
        <f t="shared" si="0"/>
        <v>J5Ž</v>
      </c>
      <c r="H33" t="str">
        <f t="shared" si="1"/>
        <v>–</v>
      </c>
      <c r="I33" t="str">
        <f t="shared" si="2"/>
        <v>–</v>
      </c>
    </row>
    <row r="34" spans="2:9">
      <c r="B34" t="s">
        <v>101</v>
      </c>
      <c r="C34">
        <v>4</v>
      </c>
      <c r="D34" t="s">
        <v>102</v>
      </c>
      <c r="E34" t="s">
        <v>33</v>
      </c>
      <c r="F34" t="s">
        <v>33</v>
      </c>
      <c r="G34" t="str">
        <f t="shared" si="0"/>
        <v>pD4A</v>
      </c>
      <c r="H34" t="str">
        <f t="shared" si="1"/>
        <v>–</v>
      </c>
      <c r="I34" t="str">
        <f t="shared" si="2"/>
        <v>–</v>
      </c>
    </row>
  </sheetData>
  <phoneticPr fontId="4" type="noConversion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9C091-3337-4E17-A401-4ED9BAD9BCB4}">
  <dimension ref="B1:Z22"/>
  <sheetViews>
    <sheetView topLeftCell="U1" workbookViewId="0">
      <selection activeCell="T20" sqref="T20"/>
    </sheetView>
  </sheetViews>
  <sheetFormatPr defaultRowHeight="14.45"/>
  <cols>
    <col min="2" max="2" width="15.28515625" bestFit="1" customWidth="1"/>
    <col min="3" max="3" width="9.7109375" bestFit="1" customWidth="1"/>
    <col min="5" max="5" width="14.140625" bestFit="1" customWidth="1"/>
    <col min="6" max="6" width="40.42578125" bestFit="1" customWidth="1"/>
    <col min="7" max="7" width="9.42578125" bestFit="1" customWidth="1"/>
    <col min="8" max="8" width="23.42578125" bestFit="1" customWidth="1"/>
    <col min="9" max="9" width="14.85546875" bestFit="1" customWidth="1"/>
    <col min="11" max="11" width="15.140625" customWidth="1"/>
    <col min="12" max="12" width="10" customWidth="1"/>
    <col min="13" max="13" width="14.42578125" customWidth="1"/>
    <col min="14" max="14" width="14.7109375" customWidth="1"/>
    <col min="15" max="15" width="11.42578125" customWidth="1"/>
    <col min="16" max="16" width="17.140625" customWidth="1"/>
    <col min="17" max="17" width="24" customWidth="1"/>
    <col min="19" max="20" width="27.85546875" customWidth="1"/>
    <col min="21" max="21" width="21.7109375" customWidth="1"/>
    <col min="22" max="22" width="28.28515625" customWidth="1"/>
    <col min="23" max="23" width="28.140625" customWidth="1"/>
    <col min="24" max="24" width="26.28515625" customWidth="1"/>
    <col min="25" max="25" width="27.85546875" customWidth="1"/>
    <col min="26" max="26" width="29.5703125" customWidth="1"/>
  </cols>
  <sheetData>
    <row r="1" spans="2:26">
      <c r="B1" s="1" t="s">
        <v>292</v>
      </c>
    </row>
    <row r="2" spans="2:26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10</v>
      </c>
      <c r="S2" t="s">
        <v>64</v>
      </c>
      <c r="T2" t="s">
        <v>65</v>
      </c>
      <c r="U2" t="s">
        <v>66</v>
      </c>
      <c r="V2" t="s">
        <v>67</v>
      </c>
      <c r="W2" t="s">
        <v>68</v>
      </c>
      <c r="X2" t="s">
        <v>28</v>
      </c>
      <c r="Y2" t="s">
        <v>69</v>
      </c>
      <c r="Z2" t="s">
        <v>30</v>
      </c>
    </row>
    <row r="3" spans="2:26">
      <c r="B3" t="s">
        <v>44</v>
      </c>
      <c r="C3">
        <v>6</v>
      </c>
      <c r="D3" t="s">
        <v>32</v>
      </c>
      <c r="E3">
        <v>0</v>
      </c>
      <c r="F3">
        <v>0</v>
      </c>
      <c r="G3" t="str">
        <f>IF(OR(F3="x",ISBLANK(F3)),_xlfn.CONCAT(B3,C3,D3),"alexandrín")</f>
        <v>alexandrín</v>
      </c>
      <c r="H3" t="str">
        <f>IF(G3="alexandrín",IF(D3="Ž","ženský","mužský"),"–")</f>
        <v>ženský</v>
      </c>
      <c r="I3" t="str">
        <f>IF(G3="alexandrín",_xlfn.CONCAT(G3,H3),"–")</f>
        <v>alexandrínženský</v>
      </c>
      <c r="K3" t="s">
        <v>35</v>
      </c>
      <c r="L3" t="s">
        <v>36</v>
      </c>
      <c r="M3" t="s">
        <v>293</v>
      </c>
      <c r="N3" t="s">
        <v>294</v>
      </c>
      <c r="O3" t="s">
        <v>295</v>
      </c>
      <c r="P3">
        <v>2</v>
      </c>
      <c r="Q3" t="s">
        <v>40</v>
      </c>
      <c r="R3" t="s">
        <v>32</v>
      </c>
      <c r="S3">
        <v>2</v>
      </c>
      <c r="T3">
        <v>2</v>
      </c>
      <c r="U3" t="str">
        <f>_xlfn.CONCAT(S3,"/",T3)</f>
        <v>2/2</v>
      </c>
      <c r="V3" t="s">
        <v>50</v>
      </c>
      <c r="W3" t="s">
        <v>50</v>
      </c>
      <c r="X3" t="str">
        <f>_xlfn.CONCAT(V3,"+",W3)</f>
        <v>N+N</v>
      </c>
      <c r="Y3">
        <v>1</v>
      </c>
    </row>
    <row r="4" spans="2:26">
      <c r="B4" t="s">
        <v>101</v>
      </c>
      <c r="C4">
        <v>3</v>
      </c>
      <c r="D4" t="s">
        <v>102</v>
      </c>
      <c r="E4" t="s">
        <v>33</v>
      </c>
      <c r="F4" t="s">
        <v>33</v>
      </c>
      <c r="G4" t="str">
        <f t="shared" ref="G4:G22" si="0">IF(OR(F4="x",ISBLANK(F4)),_xlfn.CONCAT(B4,C4,D4),"alexandrín")</f>
        <v>pD3A</v>
      </c>
      <c r="H4" t="str">
        <f t="shared" ref="H4:H22" si="1">IF(G4="alexandrín",IF(D4="Ž","ženský","mužský"),"–")</f>
        <v>–</v>
      </c>
      <c r="I4" t="str">
        <f t="shared" ref="I4:I22" si="2">IF(G4="alexandrín",_xlfn.CONCAT(G4,H4),"–")</f>
        <v>–</v>
      </c>
      <c r="L4" t="s">
        <v>46</v>
      </c>
      <c r="M4" t="s">
        <v>296</v>
      </c>
      <c r="N4" t="s">
        <v>297</v>
      </c>
      <c r="O4" t="s">
        <v>298</v>
      </c>
      <c r="P4">
        <v>2</v>
      </c>
      <c r="Q4" t="s">
        <v>40</v>
      </c>
      <c r="R4" t="s">
        <v>99</v>
      </c>
      <c r="S4">
        <v>3</v>
      </c>
      <c r="T4">
        <v>3</v>
      </c>
      <c r="U4" t="str">
        <f t="shared" ref="U4:U12" si="3">_xlfn.CONCAT(S4,"/",T4)</f>
        <v>3/3</v>
      </c>
      <c r="V4" t="s">
        <v>50</v>
      </c>
      <c r="W4" t="s">
        <v>50</v>
      </c>
      <c r="X4" t="str">
        <f t="shared" ref="X4:X12" si="4">_xlfn.CONCAT(V4,"+",W4)</f>
        <v>N+N</v>
      </c>
      <c r="Y4">
        <v>1</v>
      </c>
    </row>
    <row r="5" spans="2:26">
      <c r="B5" t="s">
        <v>44</v>
      </c>
      <c r="C5">
        <v>5</v>
      </c>
      <c r="D5" t="s">
        <v>32</v>
      </c>
      <c r="E5">
        <v>0</v>
      </c>
      <c r="F5" t="s">
        <v>33</v>
      </c>
      <c r="G5" t="str">
        <f t="shared" si="0"/>
        <v>J5Ž</v>
      </c>
      <c r="H5" t="str">
        <f t="shared" si="1"/>
        <v>–</v>
      </c>
      <c r="I5" t="str">
        <f t="shared" si="2"/>
        <v>–</v>
      </c>
      <c r="K5" t="s">
        <v>35</v>
      </c>
      <c r="L5" t="s">
        <v>36</v>
      </c>
      <c r="M5" t="s">
        <v>299</v>
      </c>
      <c r="N5" t="s">
        <v>300</v>
      </c>
      <c r="O5" t="s">
        <v>301</v>
      </c>
      <c r="P5">
        <v>2</v>
      </c>
      <c r="Q5" t="s">
        <v>40</v>
      </c>
      <c r="R5" t="s">
        <v>32</v>
      </c>
      <c r="S5">
        <v>4</v>
      </c>
      <c r="T5">
        <v>4</v>
      </c>
      <c r="U5" t="str">
        <f t="shared" si="3"/>
        <v>4/4</v>
      </c>
      <c r="V5" t="s">
        <v>75</v>
      </c>
      <c r="W5" t="s">
        <v>41</v>
      </c>
      <c r="X5" t="str">
        <f t="shared" si="4"/>
        <v>V+Adj</v>
      </c>
      <c r="Y5">
        <v>2</v>
      </c>
    </row>
    <row r="6" spans="2:26">
      <c r="B6" t="s">
        <v>44</v>
      </c>
      <c r="C6">
        <v>5</v>
      </c>
      <c r="D6" t="s">
        <v>45</v>
      </c>
      <c r="E6">
        <v>0</v>
      </c>
      <c r="F6" t="s">
        <v>33</v>
      </c>
      <c r="G6" t="str">
        <f t="shared" si="0"/>
        <v>J5M</v>
      </c>
      <c r="H6" t="str">
        <f t="shared" si="1"/>
        <v>–</v>
      </c>
      <c r="I6" t="str">
        <f t="shared" si="2"/>
        <v>–</v>
      </c>
      <c r="L6" t="s">
        <v>46</v>
      </c>
      <c r="M6" t="s">
        <v>148</v>
      </c>
      <c r="N6" t="s">
        <v>302</v>
      </c>
      <c r="O6" t="s">
        <v>290</v>
      </c>
      <c r="P6">
        <v>1</v>
      </c>
      <c r="Q6" t="s">
        <v>58</v>
      </c>
      <c r="R6" t="s">
        <v>146</v>
      </c>
      <c r="S6">
        <v>1</v>
      </c>
      <c r="T6">
        <v>1</v>
      </c>
      <c r="U6" t="str">
        <f t="shared" si="3"/>
        <v>1/1</v>
      </c>
      <c r="V6" t="s">
        <v>50</v>
      </c>
      <c r="W6" t="s">
        <v>50</v>
      </c>
      <c r="X6" t="str">
        <f t="shared" si="4"/>
        <v>N+N</v>
      </c>
      <c r="Y6">
        <v>0</v>
      </c>
    </row>
    <row r="7" spans="2:26">
      <c r="B7" t="s">
        <v>44</v>
      </c>
      <c r="C7">
        <v>5</v>
      </c>
      <c r="D7" t="s">
        <v>32</v>
      </c>
      <c r="E7">
        <v>0</v>
      </c>
      <c r="F7" t="s">
        <v>33</v>
      </c>
      <c r="G7" t="str">
        <f t="shared" si="0"/>
        <v>J5Ž</v>
      </c>
      <c r="H7" t="str">
        <f t="shared" si="1"/>
        <v>–</v>
      </c>
      <c r="I7" t="str">
        <f t="shared" si="2"/>
        <v>–</v>
      </c>
      <c r="K7" t="s">
        <v>35</v>
      </c>
      <c r="L7" t="s">
        <v>36</v>
      </c>
      <c r="M7" t="s">
        <v>303</v>
      </c>
      <c r="N7" t="s">
        <v>304</v>
      </c>
      <c r="O7" t="s">
        <v>305</v>
      </c>
      <c r="P7">
        <v>2</v>
      </c>
      <c r="Q7" t="s">
        <v>40</v>
      </c>
      <c r="R7" t="s">
        <v>32</v>
      </c>
      <c r="S7">
        <v>4</v>
      </c>
      <c r="T7">
        <v>4</v>
      </c>
      <c r="U7" t="str">
        <f t="shared" si="3"/>
        <v>4/4</v>
      </c>
      <c r="V7" t="s">
        <v>50</v>
      </c>
      <c r="W7" t="s">
        <v>50</v>
      </c>
      <c r="X7" t="str">
        <f t="shared" si="4"/>
        <v>N+N</v>
      </c>
      <c r="Y7">
        <v>1</v>
      </c>
    </row>
    <row r="8" spans="2:26">
      <c r="B8" t="s">
        <v>44</v>
      </c>
      <c r="C8">
        <v>5</v>
      </c>
      <c r="D8" t="s">
        <v>45</v>
      </c>
      <c r="E8">
        <v>0</v>
      </c>
      <c r="F8" t="s">
        <v>33</v>
      </c>
      <c r="G8" t="str">
        <f t="shared" si="0"/>
        <v>J5M</v>
      </c>
      <c r="H8" t="str">
        <f t="shared" si="1"/>
        <v>–</v>
      </c>
      <c r="I8" t="str">
        <f t="shared" si="2"/>
        <v>–</v>
      </c>
      <c r="L8" t="s">
        <v>46</v>
      </c>
      <c r="M8" t="s">
        <v>306</v>
      </c>
      <c r="N8" t="s">
        <v>307</v>
      </c>
      <c r="O8" t="s">
        <v>308</v>
      </c>
      <c r="P8">
        <v>1</v>
      </c>
      <c r="Q8" t="s">
        <v>58</v>
      </c>
      <c r="R8" t="s">
        <v>45</v>
      </c>
      <c r="S8">
        <v>3</v>
      </c>
      <c r="T8">
        <v>1</v>
      </c>
      <c r="U8" t="str">
        <f t="shared" si="3"/>
        <v>3/1</v>
      </c>
      <c r="V8" t="s">
        <v>75</v>
      </c>
      <c r="W8" t="s">
        <v>50</v>
      </c>
      <c r="X8" t="str">
        <f t="shared" si="4"/>
        <v>V+N</v>
      </c>
      <c r="Y8">
        <v>2</v>
      </c>
    </row>
    <row r="9" spans="2:26">
      <c r="B9" t="s">
        <v>44</v>
      </c>
      <c r="C9">
        <v>5</v>
      </c>
      <c r="D9" t="s">
        <v>32</v>
      </c>
      <c r="E9">
        <v>0</v>
      </c>
      <c r="F9" t="s">
        <v>33</v>
      </c>
      <c r="G9" t="str">
        <f t="shared" si="0"/>
        <v>J5Ž</v>
      </c>
      <c r="H9" t="str">
        <f t="shared" si="1"/>
        <v>–</v>
      </c>
      <c r="I9" t="str">
        <f t="shared" si="2"/>
        <v>–</v>
      </c>
      <c r="K9" t="s">
        <v>35</v>
      </c>
      <c r="L9" t="s">
        <v>36</v>
      </c>
      <c r="M9" t="s">
        <v>309</v>
      </c>
      <c r="N9" t="s">
        <v>310</v>
      </c>
      <c r="O9" t="s">
        <v>311</v>
      </c>
      <c r="P9">
        <v>2</v>
      </c>
      <c r="Q9" t="s">
        <v>40</v>
      </c>
      <c r="R9" t="s">
        <v>32</v>
      </c>
      <c r="S9">
        <v>2</v>
      </c>
      <c r="T9">
        <v>2</v>
      </c>
      <c r="U9" t="str">
        <f t="shared" si="3"/>
        <v>2/2</v>
      </c>
      <c r="V9" t="s">
        <v>75</v>
      </c>
      <c r="W9" t="s">
        <v>89</v>
      </c>
      <c r="X9" t="str">
        <f t="shared" si="4"/>
        <v>V+Adv</v>
      </c>
      <c r="Y9">
        <v>2</v>
      </c>
    </row>
    <row r="10" spans="2:26">
      <c r="B10" t="s">
        <v>101</v>
      </c>
      <c r="C10">
        <v>3</v>
      </c>
      <c r="D10" t="s">
        <v>102</v>
      </c>
      <c r="E10" t="s">
        <v>33</v>
      </c>
      <c r="F10" t="s">
        <v>33</v>
      </c>
      <c r="G10" t="str">
        <f t="shared" si="0"/>
        <v>pD3A</v>
      </c>
      <c r="H10" t="str">
        <f t="shared" si="1"/>
        <v>–</v>
      </c>
      <c r="I10" t="str">
        <f t="shared" si="2"/>
        <v>–</v>
      </c>
      <c r="L10" t="s">
        <v>46</v>
      </c>
      <c r="M10" t="s">
        <v>312</v>
      </c>
      <c r="N10" t="s">
        <v>313</v>
      </c>
      <c r="O10" t="s">
        <v>98</v>
      </c>
      <c r="P10">
        <v>1</v>
      </c>
      <c r="Q10" t="s">
        <v>58</v>
      </c>
      <c r="R10" t="s">
        <v>45</v>
      </c>
      <c r="S10">
        <v>1</v>
      </c>
      <c r="T10">
        <v>1</v>
      </c>
      <c r="U10" t="str">
        <f t="shared" si="3"/>
        <v>1/1</v>
      </c>
      <c r="V10" t="s">
        <v>50</v>
      </c>
      <c r="W10" t="s">
        <v>50</v>
      </c>
      <c r="X10" t="str">
        <f t="shared" si="4"/>
        <v>N+N</v>
      </c>
      <c r="Y10">
        <v>1</v>
      </c>
    </row>
    <row r="11" spans="2:26">
      <c r="B11" t="s">
        <v>44</v>
      </c>
      <c r="C11">
        <v>5</v>
      </c>
      <c r="D11" t="s">
        <v>32</v>
      </c>
      <c r="E11">
        <v>0</v>
      </c>
      <c r="F11" t="s">
        <v>33</v>
      </c>
      <c r="G11" t="str">
        <f t="shared" si="0"/>
        <v>J5Ž</v>
      </c>
      <c r="H11" t="str">
        <f t="shared" si="1"/>
        <v>–</v>
      </c>
      <c r="I11" t="str">
        <f t="shared" si="2"/>
        <v>–</v>
      </c>
      <c r="K11" t="s">
        <v>35</v>
      </c>
      <c r="L11" t="s">
        <v>36</v>
      </c>
      <c r="M11" t="s">
        <v>314</v>
      </c>
      <c r="N11" t="s">
        <v>315</v>
      </c>
      <c r="O11" t="s">
        <v>316</v>
      </c>
      <c r="P11">
        <v>2</v>
      </c>
      <c r="Q11" t="s">
        <v>40</v>
      </c>
      <c r="R11" t="s">
        <v>32</v>
      </c>
      <c r="S11">
        <v>4</v>
      </c>
      <c r="T11">
        <v>2</v>
      </c>
      <c r="U11" t="str">
        <f t="shared" si="3"/>
        <v>4/2</v>
      </c>
      <c r="V11" t="s">
        <v>50</v>
      </c>
      <c r="W11" t="s">
        <v>41</v>
      </c>
      <c r="X11" t="str">
        <f t="shared" si="4"/>
        <v>N+Adj</v>
      </c>
      <c r="Y11">
        <v>2</v>
      </c>
    </row>
    <row r="12" spans="2:26">
      <c r="B12" t="s">
        <v>44</v>
      </c>
      <c r="C12">
        <v>5</v>
      </c>
      <c r="D12" t="s">
        <v>45</v>
      </c>
      <c r="E12">
        <v>0</v>
      </c>
      <c r="F12" t="s">
        <v>33</v>
      </c>
      <c r="G12" t="str">
        <f t="shared" si="0"/>
        <v>J5M</v>
      </c>
      <c r="H12" t="str">
        <f t="shared" si="1"/>
        <v>–</v>
      </c>
      <c r="I12" t="str">
        <f t="shared" si="2"/>
        <v>–</v>
      </c>
      <c r="L12" t="s">
        <v>46</v>
      </c>
      <c r="M12" t="s">
        <v>317</v>
      </c>
      <c r="N12" t="s">
        <v>318</v>
      </c>
      <c r="O12" t="s">
        <v>319</v>
      </c>
      <c r="P12">
        <v>2</v>
      </c>
      <c r="Q12" t="s">
        <v>40</v>
      </c>
      <c r="R12" t="s">
        <v>45</v>
      </c>
      <c r="S12">
        <v>3</v>
      </c>
      <c r="T12">
        <v>3</v>
      </c>
      <c r="U12" t="str">
        <f t="shared" si="3"/>
        <v>3/3</v>
      </c>
      <c r="V12" t="s">
        <v>75</v>
      </c>
      <c r="W12" t="s">
        <v>50</v>
      </c>
      <c r="X12" t="str">
        <f t="shared" si="4"/>
        <v>V+N</v>
      </c>
      <c r="Y12">
        <v>2</v>
      </c>
    </row>
    <row r="13" spans="2:26">
      <c r="B13" t="s">
        <v>44</v>
      </c>
      <c r="C13">
        <v>6</v>
      </c>
      <c r="D13" t="s">
        <v>32</v>
      </c>
      <c r="E13">
        <v>0</v>
      </c>
      <c r="F13">
        <v>0</v>
      </c>
      <c r="G13" t="str">
        <f t="shared" si="0"/>
        <v>alexandrín</v>
      </c>
      <c r="H13" t="str">
        <f t="shared" si="1"/>
        <v>ženský</v>
      </c>
      <c r="I13" t="str">
        <f t="shared" si="2"/>
        <v>alexandrínženský</v>
      </c>
    </row>
    <row r="14" spans="2:26">
      <c r="B14" t="s">
        <v>44</v>
      </c>
      <c r="C14">
        <v>6</v>
      </c>
      <c r="D14" t="s">
        <v>45</v>
      </c>
      <c r="E14">
        <v>0</v>
      </c>
      <c r="F14">
        <v>0</v>
      </c>
      <c r="G14" t="str">
        <f t="shared" si="0"/>
        <v>alexandrín</v>
      </c>
      <c r="H14" t="str">
        <f t="shared" si="1"/>
        <v>mužský</v>
      </c>
      <c r="I14" t="str">
        <f t="shared" si="2"/>
        <v>alexandrínmužský</v>
      </c>
    </row>
    <row r="15" spans="2:26">
      <c r="B15" t="s">
        <v>44</v>
      </c>
      <c r="C15">
        <v>6</v>
      </c>
      <c r="D15" t="s">
        <v>32</v>
      </c>
      <c r="E15">
        <v>0</v>
      </c>
      <c r="F15">
        <v>0</v>
      </c>
      <c r="G15" t="str">
        <f t="shared" si="0"/>
        <v>alexandrín</v>
      </c>
      <c r="H15" t="str">
        <f t="shared" si="1"/>
        <v>ženský</v>
      </c>
      <c r="I15" t="str">
        <f t="shared" si="2"/>
        <v>alexandrínženský</v>
      </c>
    </row>
    <row r="16" spans="2:26">
      <c r="B16" t="s">
        <v>44</v>
      </c>
      <c r="C16">
        <v>5</v>
      </c>
      <c r="D16" t="s">
        <v>45</v>
      </c>
      <c r="E16">
        <v>0</v>
      </c>
      <c r="F16" t="s">
        <v>33</v>
      </c>
      <c r="G16" t="str">
        <f t="shared" si="0"/>
        <v>J5M</v>
      </c>
      <c r="H16" t="str">
        <f t="shared" si="1"/>
        <v>–</v>
      </c>
      <c r="I16" t="str">
        <f t="shared" si="2"/>
        <v>–</v>
      </c>
    </row>
    <row r="17" spans="2:9">
      <c r="B17" t="s">
        <v>44</v>
      </c>
      <c r="C17">
        <v>6</v>
      </c>
      <c r="D17" t="s">
        <v>32</v>
      </c>
      <c r="E17">
        <v>0</v>
      </c>
      <c r="F17" t="s">
        <v>33</v>
      </c>
      <c r="G17" t="str">
        <f t="shared" si="0"/>
        <v>J6Ž</v>
      </c>
      <c r="H17" t="str">
        <f t="shared" si="1"/>
        <v>–</v>
      </c>
      <c r="I17" t="str">
        <f t="shared" si="2"/>
        <v>–</v>
      </c>
    </row>
    <row r="18" spans="2:9">
      <c r="B18" t="s">
        <v>44</v>
      </c>
      <c r="C18">
        <v>5</v>
      </c>
      <c r="D18" t="s">
        <v>45</v>
      </c>
      <c r="E18">
        <v>0</v>
      </c>
      <c r="F18" t="s">
        <v>33</v>
      </c>
      <c r="G18" t="str">
        <f t="shared" si="0"/>
        <v>J5M</v>
      </c>
      <c r="H18" t="str">
        <f t="shared" si="1"/>
        <v>–</v>
      </c>
      <c r="I18" t="str">
        <f t="shared" si="2"/>
        <v>–</v>
      </c>
    </row>
    <row r="19" spans="2:9">
      <c r="B19" t="s">
        <v>31</v>
      </c>
      <c r="C19">
        <v>5</v>
      </c>
      <c r="D19" t="s">
        <v>32</v>
      </c>
      <c r="E19" t="s">
        <v>33</v>
      </c>
      <c r="F19" t="s">
        <v>33</v>
      </c>
      <c r="G19" t="s">
        <v>92</v>
      </c>
      <c r="H19" t="str">
        <f t="shared" si="1"/>
        <v>–</v>
      </c>
      <c r="I19" t="str">
        <f t="shared" si="2"/>
        <v>–</v>
      </c>
    </row>
    <row r="20" spans="2:9">
      <c r="B20" t="s">
        <v>44</v>
      </c>
      <c r="C20">
        <v>5</v>
      </c>
      <c r="D20" t="s">
        <v>45</v>
      </c>
      <c r="E20">
        <v>0</v>
      </c>
      <c r="F20" t="s">
        <v>33</v>
      </c>
      <c r="G20" t="str">
        <f t="shared" si="0"/>
        <v>J5M</v>
      </c>
      <c r="H20" t="str">
        <f t="shared" si="1"/>
        <v>–</v>
      </c>
      <c r="I20" t="str">
        <f t="shared" si="2"/>
        <v>–</v>
      </c>
    </row>
    <row r="21" spans="2:9">
      <c r="B21" t="s">
        <v>44</v>
      </c>
      <c r="C21">
        <v>5</v>
      </c>
      <c r="D21" t="s">
        <v>32</v>
      </c>
      <c r="E21">
        <v>1</v>
      </c>
      <c r="F21" t="s">
        <v>33</v>
      </c>
      <c r="G21" t="str">
        <f t="shared" si="0"/>
        <v>J5Ž</v>
      </c>
      <c r="H21" t="str">
        <f t="shared" si="1"/>
        <v>–</v>
      </c>
      <c r="I21" t="str">
        <f t="shared" si="2"/>
        <v>–</v>
      </c>
    </row>
    <row r="22" spans="2:9">
      <c r="B22" t="s">
        <v>44</v>
      </c>
      <c r="C22">
        <v>5</v>
      </c>
      <c r="D22" t="s">
        <v>45</v>
      </c>
      <c r="E22">
        <v>1</v>
      </c>
      <c r="F22" t="s">
        <v>33</v>
      </c>
      <c r="G22" t="str">
        <f t="shared" si="0"/>
        <v>J5M</v>
      </c>
      <c r="H22" t="str">
        <f t="shared" si="1"/>
        <v>–</v>
      </c>
      <c r="I22" t="str">
        <f t="shared" si="2"/>
        <v>–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7347-A8FE-45C8-A09D-5EBF6A9482EB}">
  <dimension ref="B1:AQ22"/>
  <sheetViews>
    <sheetView topLeftCell="AA1" workbookViewId="0">
      <selection activeCell="AQ5" sqref="AQ5"/>
    </sheetView>
  </sheetViews>
  <sheetFormatPr defaultRowHeight="14.45"/>
  <cols>
    <col min="2" max="2" width="12.7109375" bestFit="1" customWidth="1"/>
    <col min="3" max="3" width="9.7109375" bestFit="1" customWidth="1"/>
    <col min="5" max="5" width="14.140625" bestFit="1" customWidth="1"/>
    <col min="6" max="6" width="40.42578125" bestFit="1" customWidth="1"/>
    <col min="7" max="7" width="10.28515625" bestFit="1" customWidth="1"/>
    <col min="8" max="8" width="23.42578125" bestFit="1" customWidth="1"/>
    <col min="9" max="9" width="15.42578125" bestFit="1" customWidth="1"/>
    <col min="10" max="10" width="10.28515625" bestFit="1" customWidth="1"/>
    <col min="11" max="11" width="15.42578125" customWidth="1"/>
    <col min="12" max="12" width="10.42578125" customWidth="1"/>
    <col min="13" max="14" width="14.42578125" customWidth="1"/>
    <col min="15" max="15" width="11.28515625" customWidth="1"/>
    <col min="16" max="16" width="17.42578125" customWidth="1"/>
    <col min="17" max="17" width="24" customWidth="1"/>
    <col min="19" max="19" width="28.140625" customWidth="1"/>
    <col min="20" max="20" width="28" customWidth="1"/>
    <col min="21" max="21" width="21.85546875" customWidth="1"/>
    <col min="22" max="22" width="27.85546875" customWidth="1"/>
    <col min="23" max="23" width="27.7109375" customWidth="1"/>
    <col min="24" max="24" width="26.42578125" customWidth="1"/>
    <col min="25" max="25" width="28.42578125" customWidth="1"/>
    <col min="26" max="26" width="10.140625" customWidth="1"/>
    <col min="28" max="28" width="18.5703125" customWidth="1"/>
    <col min="29" max="29" width="24.42578125" customWidth="1"/>
    <col min="30" max="30" width="14.85546875" customWidth="1"/>
    <col min="31" max="31" width="15.7109375" customWidth="1"/>
    <col min="32" max="32" width="20.28515625" customWidth="1"/>
    <col min="33" max="33" width="22.85546875" customWidth="1"/>
    <col min="34" max="34" width="25.7109375" customWidth="1"/>
    <col min="35" max="35" width="11.7109375" customWidth="1"/>
    <col min="36" max="36" width="29" customWidth="1"/>
    <col min="37" max="37" width="30.28515625" customWidth="1"/>
    <col min="38" max="38" width="23.28515625" customWidth="1"/>
    <col min="39" max="39" width="29.140625" customWidth="1"/>
    <col min="40" max="40" width="32.5703125" customWidth="1"/>
    <col min="41" max="41" width="28.42578125" customWidth="1"/>
    <col min="42" max="42" width="28.7109375" customWidth="1"/>
    <col min="43" max="43" width="12.140625" customWidth="1"/>
  </cols>
  <sheetData>
    <row r="1" spans="2:43">
      <c r="B1" s="1" t="s">
        <v>320</v>
      </c>
    </row>
    <row r="2" spans="2:43" ht="15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10</v>
      </c>
      <c r="S2" t="s">
        <v>64</v>
      </c>
      <c r="T2" t="s">
        <v>65</v>
      </c>
      <c r="U2" t="s">
        <v>66</v>
      </c>
      <c r="V2" t="s">
        <v>67</v>
      </c>
      <c r="W2" t="s">
        <v>68</v>
      </c>
      <c r="X2" t="s">
        <v>28</v>
      </c>
      <c r="Y2" t="s">
        <v>69</v>
      </c>
      <c r="Z2" t="s">
        <v>30</v>
      </c>
      <c r="AB2" s="4" t="s">
        <v>59</v>
      </c>
      <c r="AC2" s="4" t="s">
        <v>60</v>
      </c>
    </row>
    <row r="3" spans="2:43">
      <c r="B3" t="s">
        <v>44</v>
      </c>
      <c r="C3">
        <v>5</v>
      </c>
      <c r="D3" t="s">
        <v>32</v>
      </c>
      <c r="E3">
        <v>0</v>
      </c>
      <c r="F3" t="s">
        <v>33</v>
      </c>
      <c r="G3" t="str">
        <f>IF(OR(F3="x",ISBLANK(F3)),_xlfn.CONCAT(B3,C3,D3),"alexandrín")</f>
        <v>J5Ž</v>
      </c>
      <c r="H3" t="str">
        <f>IF(G3="alexandrín",IF(D3="Ž","ženský","mužský"),"–")</f>
        <v>–</v>
      </c>
      <c r="I3" t="str">
        <f>IF(G3="alexandrín",_xlfn.CONCAT(G3,H3),"–")</f>
        <v>–</v>
      </c>
      <c r="K3" t="s">
        <v>35</v>
      </c>
      <c r="L3" t="s">
        <v>36</v>
      </c>
      <c r="M3" t="s">
        <v>321</v>
      </c>
      <c r="N3" t="s">
        <v>322</v>
      </c>
      <c r="O3" t="s">
        <v>323</v>
      </c>
      <c r="P3">
        <v>2</v>
      </c>
      <c r="Q3" t="s">
        <v>40</v>
      </c>
      <c r="R3" t="s">
        <v>32</v>
      </c>
      <c r="S3">
        <v>2</v>
      </c>
      <c r="T3">
        <v>4</v>
      </c>
      <c r="U3" t="str">
        <f>_xlfn.CONCAT(S3,"/",T3)</f>
        <v>2/4</v>
      </c>
      <c r="V3" t="s">
        <v>41</v>
      </c>
      <c r="W3" t="s">
        <v>75</v>
      </c>
      <c r="X3" t="str">
        <f>_xlfn.CONCAT(V3,"+",W3)</f>
        <v>Adj+V</v>
      </c>
      <c r="Y3">
        <v>2</v>
      </c>
      <c r="AB3" t="s">
        <v>16</v>
      </c>
      <c r="AC3" t="s">
        <v>17</v>
      </c>
      <c r="AD3" t="s">
        <v>18</v>
      </c>
      <c r="AE3" t="s">
        <v>19</v>
      </c>
      <c r="AF3" t="s">
        <v>20</v>
      </c>
      <c r="AG3" t="s">
        <v>21</v>
      </c>
      <c r="AH3" t="s">
        <v>22</v>
      </c>
      <c r="AI3" t="s">
        <v>10</v>
      </c>
      <c r="AJ3" t="s">
        <v>64</v>
      </c>
      <c r="AK3" t="s">
        <v>65</v>
      </c>
      <c r="AL3" t="s">
        <v>66</v>
      </c>
      <c r="AM3" t="s">
        <v>67</v>
      </c>
      <c r="AN3" t="s">
        <v>68</v>
      </c>
      <c r="AO3" t="s">
        <v>28</v>
      </c>
      <c r="AP3" t="s">
        <v>69</v>
      </c>
      <c r="AQ3" t="s">
        <v>70</v>
      </c>
    </row>
    <row r="4" spans="2:43">
      <c r="B4" t="s">
        <v>101</v>
      </c>
      <c r="C4">
        <v>3</v>
      </c>
      <c r="D4" t="s">
        <v>102</v>
      </c>
      <c r="E4" t="s">
        <v>33</v>
      </c>
      <c r="F4" t="s">
        <v>33</v>
      </c>
      <c r="G4" t="str">
        <f t="shared" ref="G4:G22" si="0">IF(OR(F4="x",ISBLANK(F4)),_xlfn.CONCAT(B4,C4,D4),"alexandrín")</f>
        <v>pD3A</v>
      </c>
      <c r="H4" t="str">
        <f t="shared" ref="H4:H22" si="1">IF(G4="alexandrín",IF(D4="Ž","ženský","mužský"),"–")</f>
        <v>–</v>
      </c>
      <c r="I4" t="str">
        <f t="shared" ref="I4:I22" si="2">IF(G4="alexandrín",_xlfn.CONCAT(G4,H4),"–")</f>
        <v>–</v>
      </c>
      <c r="L4" t="s">
        <v>46</v>
      </c>
      <c r="M4" t="s">
        <v>324</v>
      </c>
      <c r="N4" t="s">
        <v>325</v>
      </c>
      <c r="O4" t="s">
        <v>326</v>
      </c>
      <c r="P4">
        <v>2</v>
      </c>
      <c r="Q4" t="s">
        <v>40</v>
      </c>
      <c r="R4" t="s">
        <v>99</v>
      </c>
      <c r="S4">
        <v>3</v>
      </c>
      <c r="T4">
        <v>3</v>
      </c>
      <c r="U4" t="str">
        <f t="shared" ref="U4:U12" si="3">_xlfn.CONCAT(S4,"/",T4)</f>
        <v>3/3</v>
      </c>
      <c r="V4" t="s">
        <v>50</v>
      </c>
      <c r="W4" t="s">
        <v>50</v>
      </c>
      <c r="X4" t="str">
        <f t="shared" ref="X4:X12" si="4">_xlfn.CONCAT(V4,"+",W4)</f>
        <v>N+N</v>
      </c>
      <c r="Y4">
        <v>1</v>
      </c>
      <c r="AB4" t="s">
        <v>35</v>
      </c>
      <c r="AC4" t="s">
        <v>46</v>
      </c>
      <c r="AD4" t="s">
        <v>327</v>
      </c>
      <c r="AE4" t="s">
        <v>328</v>
      </c>
      <c r="AF4" t="s">
        <v>329</v>
      </c>
      <c r="AG4">
        <v>2</v>
      </c>
      <c r="AH4" t="s">
        <v>40</v>
      </c>
      <c r="AI4" t="s">
        <v>45</v>
      </c>
      <c r="AJ4">
        <v>3</v>
      </c>
      <c r="AK4">
        <v>3</v>
      </c>
      <c r="AL4" t="str">
        <f>_xlfn.CONCAT(AJ4,"/",AK4)</f>
        <v>3/3</v>
      </c>
      <c r="AM4" t="s">
        <v>50</v>
      </c>
      <c r="AN4" t="s">
        <v>50</v>
      </c>
      <c r="AO4" t="str">
        <f>_xlfn.CONCAT(AM4,"+",AN4)</f>
        <v>N+N</v>
      </c>
      <c r="AP4">
        <v>1</v>
      </c>
      <c r="AQ4" t="s">
        <v>77</v>
      </c>
    </row>
    <row r="5" spans="2:43">
      <c r="B5" t="s">
        <v>44</v>
      </c>
      <c r="C5">
        <v>6</v>
      </c>
      <c r="D5" t="s">
        <v>32</v>
      </c>
      <c r="E5">
        <v>0</v>
      </c>
      <c r="F5">
        <v>0</v>
      </c>
      <c r="G5" t="str">
        <f t="shared" si="0"/>
        <v>alexandrín</v>
      </c>
      <c r="H5" t="str">
        <f t="shared" si="1"/>
        <v>ženský</v>
      </c>
      <c r="I5" t="str">
        <f t="shared" si="2"/>
        <v>alexandrínženský</v>
      </c>
      <c r="J5" s="3" t="s">
        <v>150</v>
      </c>
      <c r="K5" t="s">
        <v>35</v>
      </c>
      <c r="L5" t="s">
        <v>36</v>
      </c>
      <c r="M5" t="s">
        <v>330</v>
      </c>
      <c r="N5" t="s">
        <v>331</v>
      </c>
      <c r="O5" t="s">
        <v>332</v>
      </c>
      <c r="P5">
        <v>1</v>
      </c>
      <c r="Q5" t="s">
        <v>40</v>
      </c>
      <c r="R5" t="s">
        <v>32</v>
      </c>
      <c r="S5">
        <v>2</v>
      </c>
      <c r="T5">
        <v>4</v>
      </c>
      <c r="U5" t="str">
        <f t="shared" si="3"/>
        <v>2/4</v>
      </c>
      <c r="V5" t="s">
        <v>50</v>
      </c>
      <c r="W5" t="s">
        <v>50</v>
      </c>
      <c r="X5" t="str">
        <f t="shared" si="4"/>
        <v>N+N</v>
      </c>
      <c r="Y5">
        <v>1</v>
      </c>
      <c r="AB5" t="s">
        <v>35</v>
      </c>
      <c r="AC5" t="s">
        <v>46</v>
      </c>
      <c r="AD5" t="s">
        <v>327</v>
      </c>
      <c r="AE5" t="s">
        <v>328</v>
      </c>
      <c r="AF5" t="s">
        <v>329</v>
      </c>
      <c r="AG5">
        <v>2</v>
      </c>
      <c r="AH5" t="s">
        <v>40</v>
      </c>
      <c r="AI5" t="s">
        <v>45</v>
      </c>
      <c r="AJ5">
        <v>3</v>
      </c>
      <c r="AK5">
        <v>3</v>
      </c>
      <c r="AL5" t="str">
        <f>_xlfn.CONCAT(AJ5,"/",AK5)</f>
        <v>3/3</v>
      </c>
      <c r="AM5" t="s">
        <v>50</v>
      </c>
      <c r="AN5" t="s">
        <v>50</v>
      </c>
      <c r="AO5" t="str">
        <f>_xlfn.CONCAT(AM5,"+",AN5)</f>
        <v>N+N</v>
      </c>
      <c r="AP5">
        <v>1</v>
      </c>
      <c r="AQ5" t="s">
        <v>77</v>
      </c>
    </row>
    <row r="6" spans="2:43">
      <c r="B6" t="s">
        <v>44</v>
      </c>
      <c r="C6">
        <v>6</v>
      </c>
      <c r="D6" t="s">
        <v>45</v>
      </c>
      <c r="E6">
        <v>1</v>
      </c>
      <c r="F6">
        <v>1</v>
      </c>
      <c r="G6" t="str">
        <f t="shared" si="0"/>
        <v>alexandrín</v>
      </c>
      <c r="H6" t="str">
        <f t="shared" si="1"/>
        <v>mužský</v>
      </c>
      <c r="I6" t="str">
        <f t="shared" si="2"/>
        <v>alexandrínmužský</v>
      </c>
      <c r="L6" t="s">
        <v>46</v>
      </c>
      <c r="M6" t="s">
        <v>328</v>
      </c>
      <c r="N6" t="s">
        <v>327</v>
      </c>
      <c r="O6" t="s">
        <v>329</v>
      </c>
      <c r="P6">
        <v>2</v>
      </c>
      <c r="Q6" t="s">
        <v>40</v>
      </c>
      <c r="R6" t="s">
        <v>45</v>
      </c>
      <c r="S6">
        <v>3</v>
      </c>
      <c r="T6">
        <v>3</v>
      </c>
      <c r="U6" t="str">
        <f t="shared" si="3"/>
        <v>3/3</v>
      </c>
      <c r="V6" t="s">
        <v>50</v>
      </c>
      <c r="W6" t="s">
        <v>50</v>
      </c>
      <c r="X6" t="str">
        <f t="shared" si="4"/>
        <v>N+N</v>
      </c>
      <c r="Y6">
        <v>1</v>
      </c>
      <c r="Z6" t="s">
        <v>43</v>
      </c>
    </row>
    <row r="7" spans="2:43">
      <c r="B7" t="s">
        <v>44</v>
      </c>
      <c r="C7">
        <v>5</v>
      </c>
      <c r="D7" t="s">
        <v>32</v>
      </c>
      <c r="E7">
        <v>1</v>
      </c>
      <c r="F7" t="s">
        <v>33</v>
      </c>
      <c r="G7" t="str">
        <f t="shared" si="0"/>
        <v>J5Ž</v>
      </c>
      <c r="H7" t="str">
        <f t="shared" si="1"/>
        <v>–</v>
      </c>
      <c r="I7" t="str">
        <f t="shared" si="2"/>
        <v>–</v>
      </c>
      <c r="K7" t="s">
        <v>35</v>
      </c>
      <c r="L7" t="s">
        <v>36</v>
      </c>
      <c r="M7" t="s">
        <v>333</v>
      </c>
      <c r="N7" t="s">
        <v>334</v>
      </c>
      <c r="O7" t="s">
        <v>335</v>
      </c>
      <c r="P7">
        <v>2</v>
      </c>
      <c r="Q7" t="s">
        <v>40</v>
      </c>
      <c r="R7" t="s">
        <v>32</v>
      </c>
      <c r="S7">
        <v>4</v>
      </c>
      <c r="T7">
        <v>2</v>
      </c>
      <c r="U7" t="str">
        <f t="shared" si="3"/>
        <v>4/2</v>
      </c>
      <c r="V7" t="s">
        <v>50</v>
      </c>
      <c r="W7" t="s">
        <v>89</v>
      </c>
      <c r="X7" t="str">
        <f t="shared" si="4"/>
        <v>N+Adv</v>
      </c>
      <c r="Y7">
        <v>2</v>
      </c>
    </row>
    <row r="8" spans="2:43" ht="15">
      <c r="B8" t="s">
        <v>44</v>
      </c>
      <c r="C8">
        <v>5</v>
      </c>
      <c r="D8" t="s">
        <v>45</v>
      </c>
      <c r="E8">
        <v>1</v>
      </c>
      <c r="F8" t="s">
        <v>33</v>
      </c>
      <c r="G8" t="str">
        <f t="shared" si="0"/>
        <v>J5M</v>
      </c>
      <c r="H8" t="str">
        <f t="shared" si="1"/>
        <v>–</v>
      </c>
      <c r="I8" t="str">
        <f t="shared" si="2"/>
        <v>–</v>
      </c>
      <c r="L8" t="s">
        <v>46</v>
      </c>
      <c r="M8" t="s">
        <v>336</v>
      </c>
      <c r="N8" t="s">
        <v>337</v>
      </c>
      <c r="O8" t="s">
        <v>338</v>
      </c>
      <c r="P8">
        <v>2</v>
      </c>
      <c r="Q8" t="s">
        <v>40</v>
      </c>
      <c r="R8" t="s">
        <v>45</v>
      </c>
      <c r="S8">
        <v>3</v>
      </c>
      <c r="T8">
        <v>3</v>
      </c>
      <c r="U8" t="str">
        <f t="shared" si="3"/>
        <v>3/3</v>
      </c>
      <c r="V8" t="s">
        <v>50</v>
      </c>
      <c r="W8" t="s">
        <v>75</v>
      </c>
      <c r="X8" t="str">
        <f t="shared" si="4"/>
        <v>N+V</v>
      </c>
      <c r="Y8">
        <v>2</v>
      </c>
      <c r="AB8" s="4" t="s">
        <v>84</v>
      </c>
      <c r="AC8" s="4" t="s">
        <v>85</v>
      </c>
    </row>
    <row r="9" spans="2:43">
      <c r="B9" t="s">
        <v>44</v>
      </c>
      <c r="C9">
        <v>5</v>
      </c>
      <c r="D9" t="s">
        <v>32</v>
      </c>
      <c r="E9">
        <v>1</v>
      </c>
      <c r="F9" t="s">
        <v>33</v>
      </c>
      <c r="G9" t="str">
        <f t="shared" si="0"/>
        <v>J5Ž</v>
      </c>
      <c r="H9" t="str">
        <f t="shared" si="1"/>
        <v>–</v>
      </c>
      <c r="I9" t="str">
        <f t="shared" si="2"/>
        <v>–</v>
      </c>
      <c r="K9" t="s">
        <v>35</v>
      </c>
      <c r="L9" t="s">
        <v>36</v>
      </c>
      <c r="M9" t="s">
        <v>339</v>
      </c>
      <c r="N9" t="s">
        <v>340</v>
      </c>
      <c r="O9" t="s">
        <v>326</v>
      </c>
      <c r="P9">
        <v>2</v>
      </c>
      <c r="Q9" t="s">
        <v>40</v>
      </c>
      <c r="R9" t="s">
        <v>32</v>
      </c>
      <c r="S9">
        <v>2</v>
      </c>
      <c r="T9">
        <v>4</v>
      </c>
      <c r="U9" t="str">
        <f t="shared" si="3"/>
        <v>2/4</v>
      </c>
      <c r="V9" t="s">
        <v>50</v>
      </c>
      <c r="W9" t="s">
        <v>50</v>
      </c>
      <c r="X9" t="str">
        <f t="shared" si="4"/>
        <v>N+N</v>
      </c>
      <c r="Y9">
        <v>1</v>
      </c>
      <c r="AB9" t="s">
        <v>16</v>
      </c>
      <c r="AC9" t="s">
        <v>17</v>
      </c>
      <c r="AD9" t="s">
        <v>18</v>
      </c>
      <c r="AE9" t="s">
        <v>19</v>
      </c>
      <c r="AF9" t="s">
        <v>20</v>
      </c>
      <c r="AG9" t="s">
        <v>21</v>
      </c>
      <c r="AH9" t="s">
        <v>22</v>
      </c>
      <c r="AI9" t="s">
        <v>10</v>
      </c>
      <c r="AJ9" t="s">
        <v>64</v>
      </c>
      <c r="AK9" t="s">
        <v>65</v>
      </c>
      <c r="AL9" t="s">
        <v>66</v>
      </c>
      <c r="AM9" t="s">
        <v>67</v>
      </c>
      <c r="AN9" t="s">
        <v>68</v>
      </c>
      <c r="AO9" t="s">
        <v>28</v>
      </c>
      <c r="AP9" t="s">
        <v>69</v>
      </c>
      <c r="AQ9" t="s">
        <v>91</v>
      </c>
    </row>
    <row r="10" spans="2:43">
      <c r="B10" t="s">
        <v>44</v>
      </c>
      <c r="C10">
        <v>5</v>
      </c>
      <c r="D10" t="s">
        <v>45</v>
      </c>
      <c r="E10">
        <v>0</v>
      </c>
      <c r="F10" t="s">
        <v>33</v>
      </c>
      <c r="G10" t="str">
        <f t="shared" si="0"/>
        <v>J5M</v>
      </c>
      <c r="H10" t="str">
        <f t="shared" si="1"/>
        <v>–</v>
      </c>
      <c r="I10" t="str">
        <f t="shared" si="2"/>
        <v>–</v>
      </c>
      <c r="L10" t="s">
        <v>46</v>
      </c>
      <c r="M10" t="s">
        <v>341</v>
      </c>
      <c r="N10" t="s">
        <v>342</v>
      </c>
      <c r="O10" t="s">
        <v>343</v>
      </c>
      <c r="P10">
        <v>1</v>
      </c>
      <c r="Q10" t="s">
        <v>58</v>
      </c>
      <c r="R10" t="s">
        <v>45</v>
      </c>
      <c r="S10">
        <v>1</v>
      </c>
      <c r="T10">
        <v>1</v>
      </c>
      <c r="U10" t="str">
        <f t="shared" si="3"/>
        <v>1/1</v>
      </c>
      <c r="V10" t="s">
        <v>50</v>
      </c>
      <c r="W10" t="s">
        <v>75</v>
      </c>
      <c r="X10" t="str">
        <f t="shared" si="4"/>
        <v>N+V</v>
      </c>
      <c r="Y10">
        <v>2</v>
      </c>
      <c r="AB10" t="s">
        <v>35</v>
      </c>
      <c r="AC10" t="s">
        <v>46</v>
      </c>
      <c r="AD10" t="s">
        <v>327</v>
      </c>
      <c r="AE10" t="s">
        <v>328</v>
      </c>
      <c r="AF10" t="s">
        <v>329</v>
      </c>
      <c r="AG10">
        <v>2</v>
      </c>
      <c r="AH10" t="s">
        <v>40</v>
      </c>
      <c r="AI10" t="s">
        <v>45</v>
      </c>
      <c r="AJ10">
        <v>3</v>
      </c>
      <c r="AK10">
        <v>3</v>
      </c>
      <c r="AL10" t="str">
        <f>_xlfn.CONCAT(AJ10,"/",AK10)</f>
        <v>3/3</v>
      </c>
      <c r="AM10" t="s">
        <v>50</v>
      </c>
      <c r="AN10" t="s">
        <v>50</v>
      </c>
      <c r="AO10" t="str">
        <f>_xlfn.CONCAT(AM10,"+",AN10)</f>
        <v>N+N</v>
      </c>
      <c r="AP10">
        <v>1</v>
      </c>
      <c r="AQ10" t="s">
        <v>77</v>
      </c>
    </row>
    <row r="11" spans="2:43">
      <c r="B11" t="s">
        <v>44</v>
      </c>
      <c r="C11">
        <v>6</v>
      </c>
      <c r="D11" t="s">
        <v>32</v>
      </c>
      <c r="E11">
        <v>1</v>
      </c>
      <c r="F11">
        <v>0</v>
      </c>
      <c r="G11" t="str">
        <f t="shared" si="0"/>
        <v>alexandrín</v>
      </c>
      <c r="H11" t="str">
        <f t="shared" si="1"/>
        <v>ženský</v>
      </c>
      <c r="I11" t="str">
        <f t="shared" si="2"/>
        <v>alexandrínženský</v>
      </c>
      <c r="K11" t="s">
        <v>35</v>
      </c>
      <c r="L11" t="s">
        <v>36</v>
      </c>
      <c r="M11" t="s">
        <v>344</v>
      </c>
      <c r="N11" t="s">
        <v>322</v>
      </c>
      <c r="O11" t="s">
        <v>345</v>
      </c>
      <c r="P11">
        <v>2</v>
      </c>
      <c r="Q11" t="s">
        <v>40</v>
      </c>
      <c r="R11" t="s">
        <v>32</v>
      </c>
      <c r="S11">
        <v>4</v>
      </c>
      <c r="T11">
        <v>4</v>
      </c>
      <c r="U11" t="str">
        <f t="shared" si="3"/>
        <v>4/4</v>
      </c>
      <c r="V11" t="s">
        <v>75</v>
      </c>
      <c r="W11" t="s">
        <v>75</v>
      </c>
      <c r="X11" t="str">
        <f t="shared" si="4"/>
        <v>V+V</v>
      </c>
      <c r="Y11">
        <v>1</v>
      </c>
      <c r="AB11" t="s">
        <v>35</v>
      </c>
      <c r="AC11" t="s">
        <v>46</v>
      </c>
      <c r="AD11" t="s">
        <v>327</v>
      </c>
      <c r="AE11" t="s">
        <v>328</v>
      </c>
      <c r="AF11" t="s">
        <v>329</v>
      </c>
      <c r="AG11">
        <v>2</v>
      </c>
      <c r="AH11" t="s">
        <v>40</v>
      </c>
      <c r="AI11" t="s">
        <v>45</v>
      </c>
      <c r="AJ11">
        <v>3</v>
      </c>
      <c r="AK11">
        <v>3</v>
      </c>
      <c r="AL11" t="str">
        <f>_xlfn.CONCAT(AJ11,"/",AK11)</f>
        <v>3/3</v>
      </c>
      <c r="AM11" t="s">
        <v>50</v>
      </c>
      <c r="AN11" t="s">
        <v>50</v>
      </c>
      <c r="AO11" t="str">
        <f>_xlfn.CONCAT(AM11,"+",AN11)</f>
        <v>N+N</v>
      </c>
      <c r="AP11">
        <v>1</v>
      </c>
      <c r="AQ11" t="s">
        <v>77</v>
      </c>
    </row>
    <row r="12" spans="2:43">
      <c r="B12" t="s">
        <v>44</v>
      </c>
      <c r="C12">
        <v>6</v>
      </c>
      <c r="D12" t="s">
        <v>45</v>
      </c>
      <c r="E12">
        <v>1</v>
      </c>
      <c r="F12">
        <v>0</v>
      </c>
      <c r="G12" t="str">
        <f t="shared" si="0"/>
        <v>alexandrín</v>
      </c>
      <c r="H12" t="str">
        <f t="shared" si="1"/>
        <v>mužský</v>
      </c>
      <c r="I12" t="str">
        <f t="shared" si="2"/>
        <v>alexandrínmužský</v>
      </c>
      <c r="L12" t="s">
        <v>46</v>
      </c>
      <c r="M12" t="s">
        <v>327</v>
      </c>
      <c r="N12" t="s">
        <v>328</v>
      </c>
      <c r="O12" t="s">
        <v>329</v>
      </c>
      <c r="P12">
        <v>2</v>
      </c>
      <c r="Q12" t="s">
        <v>40</v>
      </c>
      <c r="R12" t="s">
        <v>45</v>
      </c>
      <c r="S12">
        <v>3</v>
      </c>
      <c r="T12">
        <v>3</v>
      </c>
      <c r="U12" t="str">
        <f t="shared" si="3"/>
        <v>3/3</v>
      </c>
      <c r="V12" t="s">
        <v>50</v>
      </c>
      <c r="W12" t="s">
        <v>50</v>
      </c>
      <c r="X12" t="str">
        <f t="shared" si="4"/>
        <v>N+N</v>
      </c>
      <c r="Y12">
        <v>1</v>
      </c>
      <c r="Z12" t="s">
        <v>43</v>
      </c>
    </row>
    <row r="13" spans="2:43">
      <c r="B13" t="s">
        <v>44</v>
      </c>
      <c r="C13">
        <v>5</v>
      </c>
      <c r="D13" t="s">
        <v>32</v>
      </c>
      <c r="E13">
        <v>0</v>
      </c>
      <c r="F13" t="s">
        <v>33</v>
      </c>
      <c r="G13" t="str">
        <f t="shared" si="0"/>
        <v>J5Ž</v>
      </c>
      <c r="H13" t="str">
        <f t="shared" si="1"/>
        <v>–</v>
      </c>
      <c r="I13" t="str">
        <f t="shared" si="2"/>
        <v>–</v>
      </c>
    </row>
    <row r="14" spans="2:43">
      <c r="B14" t="s">
        <v>44</v>
      </c>
      <c r="C14">
        <v>5</v>
      </c>
      <c r="D14" t="s">
        <v>45</v>
      </c>
      <c r="E14">
        <v>0</v>
      </c>
      <c r="F14" t="s">
        <v>33</v>
      </c>
      <c r="G14" t="str">
        <f t="shared" si="0"/>
        <v>J5M</v>
      </c>
      <c r="H14" t="str">
        <f t="shared" si="1"/>
        <v>–</v>
      </c>
      <c r="I14" t="str">
        <f t="shared" si="2"/>
        <v>–</v>
      </c>
    </row>
    <row r="15" spans="2:43">
      <c r="B15" t="s">
        <v>44</v>
      </c>
      <c r="C15">
        <v>5</v>
      </c>
      <c r="D15" t="s">
        <v>32</v>
      </c>
      <c r="E15">
        <v>1</v>
      </c>
      <c r="F15" t="s">
        <v>33</v>
      </c>
      <c r="G15" t="str">
        <f t="shared" si="0"/>
        <v>J5Ž</v>
      </c>
      <c r="H15" t="str">
        <f t="shared" si="1"/>
        <v>–</v>
      </c>
      <c r="I15" t="str">
        <f t="shared" si="2"/>
        <v>–</v>
      </c>
    </row>
    <row r="16" spans="2:43">
      <c r="B16" t="s">
        <v>44</v>
      </c>
      <c r="C16">
        <v>6</v>
      </c>
      <c r="D16" t="s">
        <v>45</v>
      </c>
      <c r="E16">
        <v>1</v>
      </c>
      <c r="F16">
        <v>1</v>
      </c>
      <c r="G16" t="str">
        <f t="shared" si="0"/>
        <v>alexandrín</v>
      </c>
      <c r="H16" t="str">
        <f t="shared" si="1"/>
        <v>mužský</v>
      </c>
      <c r="I16" t="str">
        <f t="shared" si="2"/>
        <v>alexandrínmužský</v>
      </c>
    </row>
    <row r="17" spans="2:9">
      <c r="B17" t="s">
        <v>44</v>
      </c>
      <c r="C17">
        <v>5</v>
      </c>
      <c r="D17" t="s">
        <v>32</v>
      </c>
      <c r="E17">
        <v>0</v>
      </c>
      <c r="F17" t="s">
        <v>33</v>
      </c>
      <c r="G17" t="str">
        <f t="shared" si="0"/>
        <v>J5Ž</v>
      </c>
      <c r="H17" t="str">
        <f t="shared" si="1"/>
        <v>–</v>
      </c>
      <c r="I17" t="str">
        <f t="shared" si="2"/>
        <v>–</v>
      </c>
    </row>
    <row r="18" spans="2:9">
      <c r="B18" t="s">
        <v>44</v>
      </c>
      <c r="C18">
        <v>5</v>
      </c>
      <c r="D18" t="s">
        <v>45</v>
      </c>
      <c r="E18">
        <v>1</v>
      </c>
      <c r="F18" t="s">
        <v>33</v>
      </c>
      <c r="G18" t="str">
        <f t="shared" si="0"/>
        <v>J5M</v>
      </c>
      <c r="H18" t="str">
        <f t="shared" si="1"/>
        <v>–</v>
      </c>
      <c r="I18" t="str">
        <f t="shared" si="2"/>
        <v>–</v>
      </c>
    </row>
    <row r="19" spans="2:9">
      <c r="B19" t="s">
        <v>44</v>
      </c>
      <c r="C19">
        <v>5</v>
      </c>
      <c r="D19" t="s">
        <v>32</v>
      </c>
      <c r="E19">
        <v>1</v>
      </c>
      <c r="F19" t="s">
        <v>33</v>
      </c>
      <c r="G19" t="str">
        <f t="shared" si="0"/>
        <v>J5Ž</v>
      </c>
      <c r="H19" t="str">
        <f t="shared" si="1"/>
        <v>–</v>
      </c>
      <c r="I19" t="str">
        <f t="shared" si="2"/>
        <v>–</v>
      </c>
    </row>
    <row r="20" spans="2:9">
      <c r="B20" t="s">
        <v>44</v>
      </c>
      <c r="C20">
        <v>5</v>
      </c>
      <c r="D20" t="s">
        <v>45</v>
      </c>
      <c r="E20">
        <v>0</v>
      </c>
      <c r="F20" t="s">
        <v>33</v>
      </c>
      <c r="G20" t="str">
        <f t="shared" si="0"/>
        <v>J5M</v>
      </c>
      <c r="H20" t="str">
        <f t="shared" si="1"/>
        <v>–</v>
      </c>
      <c r="I20" t="str">
        <f t="shared" si="2"/>
        <v>–</v>
      </c>
    </row>
    <row r="21" spans="2:9">
      <c r="B21" t="s">
        <v>44</v>
      </c>
      <c r="C21">
        <v>6</v>
      </c>
      <c r="D21" t="s">
        <v>32</v>
      </c>
      <c r="E21">
        <v>1</v>
      </c>
      <c r="F21">
        <v>0</v>
      </c>
      <c r="G21" t="str">
        <f t="shared" si="0"/>
        <v>alexandrín</v>
      </c>
      <c r="H21" t="str">
        <f t="shared" si="1"/>
        <v>ženský</v>
      </c>
      <c r="I21" t="str">
        <f t="shared" si="2"/>
        <v>alexandrínženský</v>
      </c>
    </row>
    <row r="22" spans="2:9">
      <c r="B22" t="s">
        <v>44</v>
      </c>
      <c r="C22">
        <v>6</v>
      </c>
      <c r="D22" t="s">
        <v>45</v>
      </c>
      <c r="E22">
        <v>0</v>
      </c>
      <c r="F22">
        <v>0</v>
      </c>
      <c r="G22" t="str">
        <f t="shared" si="0"/>
        <v>alexandrín</v>
      </c>
      <c r="H22" t="str">
        <f t="shared" si="1"/>
        <v>mužský</v>
      </c>
      <c r="I22" t="str">
        <f t="shared" si="2"/>
        <v>alexandrínmužský</v>
      </c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CBE2D6139EC9D49B68B43E99C1133B0" ma:contentTypeVersion="4" ma:contentTypeDescription="Vytvoří nový dokument" ma:contentTypeScope="" ma:versionID="a71d407d59752feb09af3383524fb755">
  <xsd:schema xmlns:xsd="http://www.w3.org/2001/XMLSchema" xmlns:xs="http://www.w3.org/2001/XMLSchema" xmlns:p="http://schemas.microsoft.com/office/2006/metadata/properties" xmlns:ns2="e079f053-b45b-44c9-a73b-4b9140d966ae" targetNamespace="http://schemas.microsoft.com/office/2006/metadata/properties" ma:root="true" ma:fieldsID="63f37f299ab2dd1bc5cc0f535f3b49f8" ns2:_="">
    <xsd:import namespace="e079f053-b45b-44c9-a73b-4b9140d966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79f053-b45b-44c9-a73b-4b9140d966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DBF014-A8C3-43C6-8272-A52DFB47BC91}"/>
</file>

<file path=customXml/itemProps2.xml><?xml version="1.0" encoding="utf-8"?>
<ds:datastoreItem xmlns:ds="http://schemas.openxmlformats.org/officeDocument/2006/customXml" ds:itemID="{8211426B-9345-4043-9656-35F4DBFDFF49}"/>
</file>

<file path=customXml/itemProps3.xml><?xml version="1.0" encoding="utf-8"?>
<ds:datastoreItem xmlns:ds="http://schemas.openxmlformats.org/officeDocument/2006/customXml" ds:itemID="{FBB46F0C-3DAA-4988-A4F6-DC2F8DFDD1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Místecký Michal</dc:creator>
  <cp:keywords/>
  <dc:description/>
  <cp:lastModifiedBy>Majetná Magdaléna</cp:lastModifiedBy>
  <cp:revision/>
  <dcterms:created xsi:type="dcterms:W3CDTF">2023-11-30T09:00:51Z</dcterms:created>
  <dcterms:modified xsi:type="dcterms:W3CDTF">2024-04-24T20:54:39Z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0x0101001CBE2D6139EC9D49B68B43E99C1133B0</vt:lpwstr>
  </property>
</Properties>
</file>