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re\Dropbox\"/>
    </mc:Choice>
  </mc:AlternateContent>
  <xr:revisionPtr revIDLastSave="0" documentId="13_ncr:1_{F7F4BEA2-64B8-46C2-A1A3-C80CA82B7CE7}" xr6:coauthVersionLast="33" xr6:coauthVersionMax="33" xr10:uidLastSave="{00000000-0000-0000-0000-000000000000}"/>
  <bookViews>
    <workbookView xWindow="0" yWindow="0" windowWidth="15612" windowHeight="5160" firstSheet="1" activeTab="4" xr2:uid="{00000000-000D-0000-FFFF-FFFF00000000}"/>
  </bookViews>
  <sheets>
    <sheet name="Data Source" sheetId="1" r:id="rId1"/>
    <sheet name="Pivot 1" sheetId="3" r:id="rId2"/>
    <sheet name="Pivot 2" sheetId="5" r:id="rId3"/>
    <sheet name="Pivot 3" sheetId="6" r:id="rId4"/>
    <sheet name="Bonus -Outcome Based on Goals" sheetId="7" r:id="rId5"/>
  </sheets>
  <definedNames>
    <definedName name="backers_count">'Data Source'!$L:$L</definedName>
    <definedName name="goal">'Data Source'!$D:$D</definedName>
    <definedName name="pledged">'Data Source'!$E:$E</definedName>
  </definedNames>
  <calcPr calcId="179017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2" i="7"/>
  <c r="B2" i="7"/>
  <c r="D3" i="7"/>
  <c r="D13" i="7"/>
  <c r="C13" i="7"/>
  <c r="D12" i="7"/>
  <c r="C12" i="7"/>
  <c r="D11" i="7"/>
  <c r="C11" i="7"/>
  <c r="D10" i="7"/>
  <c r="C10" i="7"/>
  <c r="D9" i="7"/>
  <c r="C9" i="7"/>
  <c r="B13" i="7"/>
  <c r="B12" i="7"/>
  <c r="B11" i="7"/>
  <c r="B10" i="7"/>
  <c r="B9" i="7"/>
  <c r="C8" i="7"/>
  <c r="D8" i="7"/>
  <c r="B8" i="7"/>
  <c r="D7" i="7"/>
  <c r="C7" i="7"/>
  <c r="B7" i="7"/>
  <c r="D6" i="7"/>
  <c r="C6" i="7"/>
  <c r="B6" i="7"/>
  <c r="D5" i="7"/>
  <c r="C5" i="7"/>
  <c r="B5" i="7"/>
  <c r="D4" i="7"/>
  <c r="C4" i="7"/>
  <c r="B4" i="7"/>
  <c r="C3" i="7"/>
  <c r="C2" i="7"/>
  <c r="B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<sst xmlns="http://schemas.openxmlformats.org/spreadsheetml/2006/main" count="24820" uniqueCount="8402">
  <si>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</si>
  <si>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</si>
  <si>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</si>
  <si>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</si>
  <si>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</si>
  <si>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</si>
  <si>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</si>
  <si>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</si>
  <si>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</si>
  <si>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</si>
  <si>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</si>
  <si>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</si>
  <si>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</si>
  <si>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</si>
  <si>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</si>
  <si>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</si>
  <si>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</si>
  <si>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</si>
  <si>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</si>
  <si>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</si>
  <si>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</si>
  <si>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</si>
  <si>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</si>
  <si>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</si>
  <si>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</si>
  <si>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</si>
  <si>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</si>
  <si>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</si>
  <si>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</si>
  <si>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</si>
  <si>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</si>
  <si>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</si>
  <si>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</si>
  <si>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</si>
  <si>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</si>
  <si>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</si>
  <si>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</si>
  <si>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</si>
  <si>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</si>
  <si>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</si>
  <si>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</si>
  <si>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</si>
  <si>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</si>
  <si>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</si>
  <si>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</si>
  <si>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</si>
  <si>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</si>
  <si>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</si>
  <si>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</si>
  <si>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</si>
  <si>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</si>
  <si>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</si>
  <si>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</si>
  <si>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</si>
  <si>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</si>
  <si>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</si>
  <si>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</si>
  <si>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</si>
  <si>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</si>
  <si>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</si>
  <si>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</si>
  <si>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</si>
  <si>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</si>
  <si>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</si>
  <si>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</si>
  <si>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</si>
  <si>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</si>
  <si>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</si>
  <si>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</si>
  <si>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</si>
  <si>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</si>
  <si>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</si>
  <si>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</si>
  <si>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</si>
  <si>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</si>
  <si>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</si>
  <si>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</si>
  <si>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</si>
  <si>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</si>
  <si>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</si>
  <si>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</si>
  <si>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</si>
  <si>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</si>
  <si>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</si>
  <si>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</si>
  <si>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</si>
  <si>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</si>
  <si>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</si>
  <si>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</si>
  <si>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</si>
  <si>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</si>
  <si>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</si>
  <si>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</si>
  <si>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</si>
  <si>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</si>
  <si>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</si>
  <si>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</si>
  <si>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</si>
  <si>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</si>
  <si>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</si>
  <si>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</si>
  <si>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</si>
  <si>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</si>
  <si>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</si>
  <si>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</si>
  <si>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</si>
  <si>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</si>
  <si>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</si>
  <si>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</si>
  <si>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</si>
  <si>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</si>
  <si>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</si>
  <si>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</si>
  <si>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</si>
  <si>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</si>
  <si>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</si>
  <si>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</si>
  <si>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</si>
  <si>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</si>
  <si>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</si>
  <si>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</si>
  <si>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</si>
  <si>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</si>
  <si>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</si>
  <si>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</si>
  <si>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</si>
  <si>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</si>
  <si>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</si>
  <si>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</si>
  <si>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</si>
  <si>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</si>
  <si>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</si>
  <si>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</si>
  <si>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</si>
  <si>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</si>
  <si>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</si>
  <si>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</si>
  <si>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</si>
  <si>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</si>
  <si>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</si>
  <si>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</si>
  <si>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</si>
  <si>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</si>
  <si>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</si>
  <si>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</si>
  <si>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</si>
  <si>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</si>
  <si>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</si>
  <si>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</si>
  <si>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</si>
  <si>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</si>
  <si>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</si>
  <si>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</si>
  <si>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</si>
  <si>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</si>
  <si>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</si>
  <si>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</si>
  <si>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</si>
  <si>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</si>
  <si>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</si>
  <si>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</si>
  <si>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</si>
  <si>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</si>
  <si>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</si>
  <si>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</si>
  <si>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</si>
  <si>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</si>
  <si>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</si>
  <si>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</si>
  <si>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</si>
  <si>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</si>
  <si>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</si>
  <si>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</si>
  <si>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</si>
  <si>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</si>
  <si>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</si>
  <si>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</si>
  <si>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</si>
  <si>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</si>
  <si>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</si>
  <si>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</si>
  <si>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</si>
  <si>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</si>
  <si>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</si>
  <si>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</si>
  <si>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</si>
  <si>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</si>
  <si>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</si>
  <si>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</si>
  <si>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</si>
  <si>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</si>
  <si>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</si>
  <si>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</si>
  <si>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</si>
  <si>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</si>
  <si>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</si>
  <si>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</si>
  <si>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</si>
  <si>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</si>
  <si>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</si>
  <si>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</si>
  <si>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</si>
  <si>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</si>
  <si>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</si>
  <si>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</si>
  <si>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</si>
  <si>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</si>
  <si>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</si>
  <si>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</si>
  <si>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</si>
  <si>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</si>
  <si>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</si>
  <si>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</si>
  <si>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</si>
  <si>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</si>
  <si>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</si>
  <si>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</si>
  <si>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</si>
  <si>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</si>
  <si>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</si>
  <si>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</si>
  <si>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</si>
  <si>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</si>
  <si>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</si>
  <si>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</si>
  <si>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</si>
  <si>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</si>
  <si>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</si>
  <si>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</si>
  <si>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</si>
  <si>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</si>
  <si>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</si>
  <si>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</si>
  <si>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</si>
  <si>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</si>
  <si>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</si>
  <si>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</si>
  <si>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</si>
  <si>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</si>
  <si>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</si>
  <si>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</si>
  <si>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</si>
  <si>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</si>
  <si>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</si>
  <si>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</si>
  <si>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</si>
  <si>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</si>
  <si>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</si>
  <si>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</si>
  <si>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</si>
  <si>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</si>
  <si>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</si>
  <si>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</si>
  <si>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</si>
  <si>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</si>
  <si>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</si>
  <si>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</si>
  <si>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</si>
  <si>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</si>
  <si>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</si>
  <si>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</si>
  <si>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</si>
  <si>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</si>
  <si>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</si>
  <si>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</si>
  <si>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</si>
  <si>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</si>
  <si>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</si>
  <si>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</si>
  <si>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</si>
  <si>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</si>
  <si>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</si>
  <si>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</si>
  <si>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</si>
  <si>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</si>
  <si>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</si>
  <si>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</si>
  <si>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</si>
  <si>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</si>
  <si>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</si>
  <si>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</si>
  <si>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</si>
  <si>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</si>
  <si>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</si>
  <si>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</si>
  <si>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</si>
  <si>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</si>
  <si>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</si>
  <si>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</si>
  <si>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</si>
  <si>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</si>
  <si>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</si>
  <si>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</si>
  <si>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</si>
  <si>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</si>
  <si>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</si>
  <si>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</si>
  <si>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</si>
  <si>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</si>
  <si>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</si>
  <si>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</si>
  <si>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</si>
  <si>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</si>
  <si>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</si>
  <si>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</si>
  <si>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</si>
  <si>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</si>
  <si>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</si>
  <si>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</si>
  <si>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</si>
  <si>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</si>
  <si>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</si>
  <si>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</si>
  <si>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</si>
  <si>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</si>
  <si>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</si>
  <si>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</si>
  <si>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</si>
  <si>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</si>
  <si>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</si>
  <si>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</si>
  <si>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</si>
  <si>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</si>
  <si>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</si>
  <si>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</si>
  <si>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</si>
  <si>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</si>
  <si>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</si>
  <si>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</si>
  <si>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</si>
  <si>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</si>
  <si>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</si>
  <si>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</si>
  <si>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</si>
  <si>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</si>
  <si>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</si>
  <si>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</si>
  <si>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</si>
  <si>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</si>
  <si>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</si>
  <si>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</si>
  <si>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</si>
  <si>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</si>
  <si>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</si>
  <si>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</si>
  <si>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</si>
  <si>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</si>
  <si>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</si>
  <si>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</si>
  <si>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</si>
  <si>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</si>
  <si>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</si>
  <si>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</si>
  <si>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</si>
  <si>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</si>
  <si>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</si>
  <si>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</si>
  <si>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</si>
  <si>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</si>
  <si>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</si>
  <si>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</si>
  <si>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</si>
  <si>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</si>
  <si>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</si>
  <si>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</si>
  <si>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</si>
  <si>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</si>
  <si>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</si>
  <si>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</si>
  <si>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</si>
  <si>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</si>
  <si>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</si>
  <si>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</si>
  <si>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</si>
  <si>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</si>
  <si>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</si>
  <si>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</si>
  <si>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</si>
  <si>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</si>
  <si>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</si>
  <si>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</si>
  <si>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</si>
  <si>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</si>
  <si>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</si>
  <si>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</si>
  <si>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</si>
  <si>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</si>
  <si>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</si>
  <si>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</si>
  <si>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</si>
  <si>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</si>
  <si>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</si>
  <si>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</si>
  <si>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</si>
  <si>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</si>
  <si>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</si>
  <si>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</si>
  <si>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</si>
  <si>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</si>
  <si>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</si>
  <si>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</si>
  <si>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</si>
  <si>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</si>
  <si>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</si>
  <si>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</si>
  <si>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</si>
  <si>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</si>
  <si>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</si>
  <si>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</si>
  <si>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</si>
  <si>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</si>
  <si>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</si>
  <si>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</si>
  <si>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</si>
  <si>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</si>
  <si>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</si>
  <si>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</si>
  <si>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</si>
  <si>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</si>
  <si>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</si>
  <si>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</si>
  <si>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</si>
  <si>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</si>
  <si>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</si>
  <si>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</si>
  <si>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</si>
  <si>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</si>
  <si>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</si>
  <si>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</si>
  <si>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</si>
  <si>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</si>
  <si>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</si>
  <si>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</si>
  <si>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</si>
  <si>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</si>
  <si>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</si>
  <si>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</si>
  <si>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</si>
  <si>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</si>
  <si>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</si>
  <si>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</si>
  <si>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</si>
  <si>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</si>
  <si>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</si>
  <si>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</si>
  <si>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</si>
  <si>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</si>
  <si>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</si>
  <si>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</si>
  <si>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</si>
  <si>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</si>
  <si>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</si>
  <si>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</si>
  <si>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</si>
  <si>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</si>
  <si>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</si>
  <si>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</si>
  <si>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</si>
  <si>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</si>
  <si>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</si>
  <si>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</si>
  <si>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</si>
  <si>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</si>
  <si>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</si>
  <si>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</si>
  <si>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</si>
  <si>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</si>
  <si>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</si>
  <si>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</si>
  <si>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</si>
  <si>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</si>
  <si>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</si>
  <si>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</si>
  <si>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</si>
  <si>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</si>
  <si>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</si>
  <si>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</si>
  <si>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</si>
  <si>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</si>
  <si>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</si>
  <si>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</si>
  <si>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</si>
  <si>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</si>
  <si>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</si>
  <si>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</si>
  <si>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</si>
  <si>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</si>
  <si>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</si>
  <si>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</si>
  <si>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</si>
  <si>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</si>
  <si>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</si>
  <si>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</si>
  <si>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</si>
  <si>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</si>
  <si>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</si>
  <si>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</si>
  <si>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</si>
  <si>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</si>
  <si>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</si>
  <si>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</si>
  <si>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</si>
  <si>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</si>
  <si>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</si>
  <si>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</si>
  <si>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</si>
  <si>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</si>
  <si>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</si>
  <si>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</si>
  <si>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</si>
  <si>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</si>
  <si>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</si>
  <si>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</si>
  <si>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</si>
  <si>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</si>
  <si>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</si>
  <si>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</si>
  <si>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</si>
  <si>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</si>
  <si>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</si>
  <si>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</si>
  <si>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</si>
  <si>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</si>
  <si>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</si>
  <si>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</si>
  <si>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</si>
  <si>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</si>
  <si>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</si>
  <si>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</si>
  <si>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</si>
  <si>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</si>
  <si>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</si>
  <si>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</si>
  <si>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</si>
  <si>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</si>
  <si>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</si>
  <si>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</si>
  <si>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</si>
  <si>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</si>
  <si>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</si>
  <si>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</si>
  <si>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</si>
  <si>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</si>
  <si>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</si>
  <si>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</si>
  <si>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</si>
  <si>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</si>
  <si>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</si>
  <si>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</si>
  <si>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</si>
  <si>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</si>
  <si>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</si>
  <si>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</si>
  <si>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</si>
  <si>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</si>
  <si>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</si>
  <si>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</si>
  <si>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</si>
  <si>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</si>
  <si>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</si>
  <si>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</si>
  <si>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</si>
  <si>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</si>
  <si>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</si>
  <si>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</si>
  <si>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</si>
  <si>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</si>
  <si>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</si>
  <si>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</si>
  <si>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</si>
  <si>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</si>
  <si>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</si>
  <si>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</si>
  <si>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</si>
  <si>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</si>
  <si>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</si>
  <si>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</si>
  <si>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</si>
  <si>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</si>
  <si>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</si>
  <si>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</si>
  <si>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</si>
  <si>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</si>
  <si>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</si>
  <si>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</si>
  <si>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</si>
  <si>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</si>
  <si>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</si>
  <si>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</si>
  <si>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</si>
  <si>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</si>
  <si>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</si>
  <si>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</si>
  <si>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</si>
  <si>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</si>
  <si>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</si>
  <si>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</si>
  <si>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</si>
  <si>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</si>
  <si>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</si>
  <si>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</si>
  <si>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</si>
  <si>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</si>
  <si>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</si>
  <si>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</si>
  <si>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</si>
  <si>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</si>
  <si>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</si>
  <si>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</si>
  <si>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</si>
  <si>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</si>
  <si>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</si>
  <si>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</si>
  <si>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</si>
  <si>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</si>
  <si>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</si>
  <si>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</si>
  <si>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</si>
  <si>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</si>
  <si>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</si>
  <si>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</si>
  <si>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</si>
  <si>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</si>
  <si>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</si>
  <si>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</si>
  <si>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</si>
  <si>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</si>
  <si>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</si>
  <si>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</si>
  <si>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</si>
  <si>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</si>
  <si>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</si>
  <si>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</si>
  <si>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</si>
  <si>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</si>
  <si>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</si>
  <si>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</si>
  <si>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</si>
  <si>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</si>
  <si>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</si>
  <si>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</si>
  <si>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</si>
  <si>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</si>
  <si>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</si>
  <si>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</si>
  <si>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</si>
  <si>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</si>
  <si>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</si>
  <si>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</si>
  <si>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</si>
  <si>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</si>
  <si>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</si>
  <si>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</si>
  <si>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</si>
  <si>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</si>
  <si>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</si>
  <si>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</si>
  <si>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</si>
  <si>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</si>
  <si>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</si>
  <si>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</si>
  <si>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</si>
  <si>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</si>
  <si>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</si>
  <si>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</si>
  <si>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</si>
  <si>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</si>
  <si>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</si>
  <si>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</si>
  <si>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</si>
  <si>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</si>
  <si>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</si>
  <si>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</si>
  <si>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</si>
  <si>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</si>
  <si>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</si>
  <si>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</si>
  <si>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</si>
  <si>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</si>
  <si>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</si>
  <si>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</si>
  <si>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</si>
  <si>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</si>
  <si>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</si>
  <si>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</si>
  <si>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</si>
  <si>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</si>
  <si>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</si>
  <si>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</si>
  <si>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</si>
  <si>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</si>
  <si>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</si>
  <si>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</si>
  <si>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</si>
  <si>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</si>
  <si>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</si>
  <si>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</si>
  <si>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</si>
  <si>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</si>
  <si>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</si>
  <si>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</si>
  <si>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</si>
  <si>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</si>
  <si>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</si>
  <si>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</si>
  <si>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</si>
  <si>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</si>
  <si>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</si>
  <si>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</si>
  <si>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</si>
  <si>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</si>
  <si>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</si>
  <si>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</si>
  <si>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</si>
  <si>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</si>
  <si>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</si>
  <si>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</si>
  <si>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</si>
  <si>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</si>
  <si>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</si>
  <si>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</si>
  <si>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</si>
  <si>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</si>
  <si>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</si>
  <si>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</si>
  <si>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</si>
  <si>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</si>
  <si>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</si>
  <si>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</si>
  <si>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</si>
  <si>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</si>
  <si>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</si>
  <si>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</si>
  <si>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</si>
  <si>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</si>
  <si>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</si>
  <si>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</si>
  <si>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</si>
  <si>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</si>
  <si>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</si>
  <si>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</si>
  <si>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</si>
  <si>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</si>
  <si>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</si>
  <si>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</si>
  <si>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</si>
  <si>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</si>
  <si>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</si>
  <si>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</si>
  <si>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</si>
  <si>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</si>
  <si>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</si>
  <si>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</si>
  <si>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</si>
  <si>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</si>
  <si>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</si>
  <si>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</si>
  <si>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</si>
  <si>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</si>
  <si>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</si>
  <si>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</si>
  <si>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</si>
  <si>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</si>
  <si>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</si>
  <si>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</si>
  <si>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</si>
  <si>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</si>
  <si>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</si>
  <si>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</si>
  <si>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</si>
  <si>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</si>
  <si>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</si>
  <si>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</si>
  <si>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</si>
  <si>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</si>
  <si>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</si>
  <si>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</si>
  <si>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</si>
  <si>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</si>
  <si>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</si>
  <si>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</si>
  <si>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</si>
  <si>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</si>
  <si>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</si>
  <si>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</si>
  <si>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</si>
  <si>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</si>
  <si>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</si>
  <si>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</si>
  <si>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</si>
  <si>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</si>
  <si>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</si>
  <si>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</si>
  <si>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</si>
  <si>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</si>
  <si>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</si>
  <si>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</si>
  <si>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</si>
  <si>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</si>
  <si>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</si>
  <si>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</si>
  <si>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</si>
  <si>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</si>
  <si>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</si>
  <si>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</si>
  <si>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</si>
  <si>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</si>
  <si>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</si>
  <si>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</si>
  <si>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</si>
  <si>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</si>
  <si>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</si>
  <si>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</si>
  <si>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</si>
  <si>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</si>
  <si>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</si>
  <si>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</si>
  <si>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</si>
  <si>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</si>
  <si>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</si>
  <si>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</si>
  <si>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</si>
  <si>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</si>
  <si>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</si>
  <si>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</si>
  <si>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</si>
  <si>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</si>
  <si>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</si>
  <si>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</si>
  <si>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</si>
  <si>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</si>
  <si>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</si>
  <si>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</si>
  <si>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</si>
  <si>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</si>
  <si>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</si>
  <si>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</si>
  <si>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</si>
  <si>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</si>
  <si>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</si>
  <si>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</si>
  <si>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</si>
  <si>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</si>
  <si>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</si>
  <si>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</si>
  <si>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</si>
  <si>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</si>
  <si>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</si>
  <si>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</si>
  <si>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</si>
  <si>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</si>
  <si>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</si>
  <si>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</si>
  <si>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</si>
  <si>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</si>
  <si>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</si>
  <si>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</si>
  <si>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</si>
  <si>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</si>
  <si>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</si>
  <si>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</si>
  <si>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</si>
  <si>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</si>
  <si>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</si>
  <si>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</si>
  <si>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</si>
  <si>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</si>
  <si>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</si>
  <si>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</si>
  <si>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</si>
  <si>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</si>
  <si>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</si>
  <si>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</si>
  <si>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</si>
  <si>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</si>
  <si>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</si>
  <si>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</si>
  <si>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</si>
  <si>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</si>
  <si>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</si>
  <si>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</si>
  <si>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</si>
  <si>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</si>
  <si>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</si>
  <si>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</si>
  <si>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</si>
  <si>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</si>
  <si>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</si>
  <si>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</si>
  <si>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</si>
  <si>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</si>
  <si>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</si>
  <si>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</si>
  <si>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</si>
  <si>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</si>
  <si>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</si>
  <si>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</si>
  <si>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</si>
  <si>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</si>
  <si>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</si>
  <si>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</si>
  <si>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</si>
  <si>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</si>
  <si>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</si>
  <si>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</si>
  <si>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</si>
  <si>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</si>
  <si>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</si>
  <si>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</si>
  <si>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</si>
  <si>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</si>
  <si>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</si>
  <si>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</si>
  <si>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</si>
  <si>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</si>
  <si>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</si>
  <si>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</si>
  <si>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</si>
  <si>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</si>
  <si>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</si>
  <si>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</si>
  <si>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</si>
  <si>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</si>
  <si>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</si>
  <si>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</si>
  <si>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</si>
  <si>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</si>
  <si>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</si>
  <si>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</si>
  <si>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</si>
  <si>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</si>
  <si>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</si>
  <si>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</si>
  <si>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</si>
  <si>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</si>
  <si>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</si>
  <si>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</si>
  <si>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</si>
  <si>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</si>
  <si>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</si>
  <si>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</si>
  <si>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</si>
  <si>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</si>
  <si>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</si>
  <si>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</si>
  <si>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</si>
  <si>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</si>
  <si>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</si>
  <si>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</si>
  <si>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</si>
  <si>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</si>
  <si>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</si>
  <si>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</si>
  <si>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</si>
  <si>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</si>
  <si>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</si>
  <si>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</si>
  <si>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</si>
  <si>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</si>
  <si>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</si>
  <si>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</si>
  <si>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</si>
  <si>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</si>
  <si>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</si>
  <si>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</si>
  <si>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</si>
  <si>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</si>
  <si>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</si>
  <si>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</si>
  <si>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</si>
  <si>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</si>
  <si>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</si>
  <si>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</si>
  <si>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</si>
  <si>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</si>
  <si>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</si>
  <si>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</si>
  <si>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</si>
  <si>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</si>
  <si>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</si>
  <si>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</si>
  <si>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</si>
  <si>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</si>
  <si>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</si>
  <si>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</si>
  <si>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</si>
  <si>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</si>
  <si>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</si>
  <si>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</si>
  <si>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</si>
  <si>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</si>
  <si>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</si>
  <si>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</si>
  <si>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</si>
  <si>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</si>
  <si>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</si>
  <si>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</si>
  <si>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</si>
  <si>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</si>
  <si>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</si>
  <si>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</si>
  <si>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</si>
  <si>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</si>
  <si>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</si>
  <si>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</si>
  <si>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</si>
  <si>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</si>
  <si>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</si>
  <si>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</si>
  <si>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</si>
  <si>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</si>
  <si>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</si>
  <si>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</si>
  <si>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</si>
  <si>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</si>
  <si>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</si>
  <si>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</si>
  <si>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</si>
  <si>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</si>
  <si>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</si>
  <si>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</si>
  <si>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</si>
  <si>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</si>
  <si>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</si>
  <si>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</si>
  <si>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</si>
  <si>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</si>
  <si>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</si>
  <si>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</si>
  <si>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</si>
  <si>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</si>
  <si>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</si>
  <si>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</si>
  <si>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</si>
  <si>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</si>
  <si>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</si>
  <si>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</si>
  <si>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</si>
  <si>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</si>
  <si>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</si>
  <si>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</si>
  <si>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</si>
  <si>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</si>
  <si>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</si>
  <si>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</si>
  <si>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</si>
  <si>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</si>
  <si>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</si>
  <si>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</si>
  <si>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</si>
  <si>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</si>
  <si>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</si>
  <si>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</si>
  <si>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</si>
  <si>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</si>
  <si>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</si>
  <si>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</si>
  <si>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</si>
  <si>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</si>
  <si>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</si>
  <si>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</si>
  <si>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</si>
  <si>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</si>
  <si>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</si>
  <si>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</si>
  <si>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</si>
  <si>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</si>
  <si>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</si>
  <si>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</si>
  <si>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</si>
  <si>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</si>
  <si>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</si>
  <si>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</si>
  <si>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</si>
  <si>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</si>
  <si>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</si>
  <si>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</si>
  <si>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</si>
  <si>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</si>
  <si>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</si>
  <si>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</si>
  <si>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</si>
  <si>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</si>
  <si>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</si>
  <si>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</si>
  <si>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</si>
  <si>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</si>
  <si>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</si>
  <si>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</si>
  <si>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</si>
  <si>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</si>
  <si>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</si>
  <si>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</si>
  <si>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</si>
  <si>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</si>
  <si>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</si>
  <si>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</si>
  <si>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</si>
  <si>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</si>
  <si>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</si>
  <si>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</si>
  <si>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</si>
  <si>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</si>
  <si>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</si>
  <si>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</si>
  <si>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</si>
  <si>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</si>
  <si>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</si>
  <si>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</si>
  <si>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</si>
  <si>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</si>
  <si>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</si>
  <si>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</si>
  <si>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</si>
  <si>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</si>
  <si>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</si>
  <si>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</si>
  <si>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</si>
  <si>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</si>
  <si>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</si>
  <si>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</si>
  <si>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</si>
  <si>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</si>
  <si>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</si>
  <si>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</si>
  <si>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</si>
  <si>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</si>
  <si>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</si>
  <si>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</si>
  <si>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</si>
  <si>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</si>
  <si>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</si>
  <si>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</si>
  <si>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</si>
  <si>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</si>
  <si>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</si>
  <si>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</si>
  <si>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</si>
  <si>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</si>
  <si>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</si>
  <si>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</si>
  <si>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</si>
  <si>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</si>
  <si>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</si>
  <si>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</si>
  <si>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</si>
  <si>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</si>
  <si>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</si>
  <si>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</si>
  <si>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</si>
  <si>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</si>
  <si>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</si>
  <si>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</si>
  <si>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</si>
  <si>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</si>
  <si>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</si>
  <si>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</si>
  <si>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</si>
  <si>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</si>
  <si>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</si>
  <si>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</si>
  <si>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</si>
  <si>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</si>
  <si>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</si>
  <si>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</si>
  <si>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</si>
  <si>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</si>
  <si>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</si>
  <si>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</si>
  <si>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</si>
  <si>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</si>
  <si>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</si>
  <si>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</si>
  <si>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</si>
  <si>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</si>
  <si>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</si>
  <si>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</si>
  <si>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</si>
  <si>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</si>
  <si>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</si>
  <si>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</si>
  <si>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</si>
  <si>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</si>
  <si>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</si>
  <si>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</si>
  <si>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</si>
  <si>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</si>
  <si>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</si>
  <si>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</si>
  <si>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</si>
  <si>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</si>
  <si>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</si>
  <si>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</si>
  <si>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</si>
  <si>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</si>
  <si>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</si>
  <si>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</si>
  <si>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</si>
  <si>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</si>
  <si>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</si>
  <si>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</si>
  <si>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</si>
  <si>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</si>
  <si>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</si>
  <si>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</si>
  <si>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</si>
  <si>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</si>
  <si>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</si>
  <si>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</si>
  <si>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</si>
  <si>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</si>
  <si>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</si>
  <si>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</si>
  <si>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</si>
  <si>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</si>
  <si>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</si>
  <si>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</si>
  <si>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</si>
  <si>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</si>
  <si>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</si>
  <si>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</si>
  <si>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</si>
  <si>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</si>
  <si>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</si>
  <si>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</si>
  <si>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</si>
  <si>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</si>
  <si>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</si>
  <si>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</si>
  <si>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</si>
  <si>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</si>
  <si>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</si>
  <si>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</si>
  <si>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</si>
  <si>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</si>
  <si>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</si>
  <si>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</si>
  <si>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</si>
  <si>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</si>
  <si>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</si>
  <si>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</si>
  <si>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</si>
  <si>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</si>
  <si>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</si>
  <si>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</si>
  <si>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</si>
  <si>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</si>
  <si>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</si>
  <si>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</si>
  <si>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</si>
  <si>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</si>
  <si>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</si>
  <si>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</si>
  <si>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</si>
  <si>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</si>
  <si>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</si>
  <si>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</si>
  <si>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</si>
  <si>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</si>
  <si>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</si>
  <si>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</si>
  <si>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</si>
  <si>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</si>
  <si>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</si>
  <si>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</si>
  <si>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</si>
  <si>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</si>
  <si>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</si>
  <si>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</si>
  <si>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</si>
  <si>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</si>
  <si>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</si>
  <si>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</si>
  <si>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</si>
  <si>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</si>
  <si>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</si>
  <si>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</si>
  <si>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</si>
  <si>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</si>
  <si>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</si>
  <si>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</si>
  <si>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</si>
  <si>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</si>
  <si>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</si>
  <si>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</si>
  <si>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</si>
  <si>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</si>
  <si>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</si>
  <si>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</si>
  <si>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</si>
  <si>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</si>
  <si>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</si>
  <si>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</si>
  <si>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</si>
  <si>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</si>
  <si>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</si>
  <si>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</si>
  <si>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</si>
  <si>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</si>
  <si>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</si>
  <si>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</si>
  <si>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</si>
  <si>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</si>
  <si>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</si>
  <si>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</si>
  <si>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</si>
  <si>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</si>
  <si>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</si>
  <si>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</si>
  <si>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</si>
  <si>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</si>
  <si>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</si>
  <si>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</si>
  <si>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</si>
  <si>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</si>
  <si>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</si>
  <si>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</si>
  <si>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</si>
  <si>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</si>
  <si>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</si>
  <si>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</si>
  <si>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</si>
  <si>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</si>
  <si>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</si>
  <si>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</si>
  <si>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</si>
  <si>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</si>
  <si>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</si>
  <si>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</si>
  <si>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</si>
  <si>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</si>
  <si>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</si>
  <si>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</si>
  <si>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</si>
  <si>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</si>
  <si>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</si>
  <si>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</si>
  <si>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</si>
  <si>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</si>
  <si>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</si>
  <si>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</si>
  <si>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</si>
  <si>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</si>
  <si>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</si>
  <si>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</si>
  <si>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</si>
  <si>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</si>
  <si>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</si>
  <si>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</si>
  <si>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</si>
  <si>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</si>
  <si>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</si>
  <si>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</si>
  <si>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</si>
  <si>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</si>
  <si>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</si>
  <si>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</si>
  <si>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</si>
  <si>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</si>
  <si>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</si>
  <si>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</si>
  <si>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</si>
  <si>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</si>
  <si>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</si>
  <si>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</si>
  <si>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</si>
  <si>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</si>
  <si>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</si>
  <si>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</si>
  <si>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</si>
  <si>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</si>
  <si>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</si>
  <si>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</si>
  <si>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</si>
  <si>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</si>
  <si>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</si>
  <si>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</si>
  <si>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</si>
  <si>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</si>
  <si>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</si>
  <si>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</si>
  <si>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</si>
  <si>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</si>
  <si>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</si>
  <si>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</si>
  <si>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</si>
  <si>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</si>
  <si>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</si>
  <si>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</si>
  <si>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</si>
  <si>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</si>
  <si>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</si>
  <si>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</si>
  <si>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</si>
  <si>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</si>
  <si>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</si>
  <si>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</si>
  <si>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</si>
  <si>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</si>
  <si>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</si>
  <si>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</si>
  <si>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</si>
  <si>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</si>
  <si>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</si>
  <si>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</si>
  <si>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</si>
  <si>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</si>
  <si>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</si>
  <si>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</si>
  <si>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</si>
  <si>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</si>
  <si>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</si>
  <si>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</si>
  <si>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</si>
  <si>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</si>
  <si>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</si>
  <si>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</si>
  <si>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</si>
  <si>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</si>
  <si>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</si>
  <si>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</si>
  <si>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</si>
  <si>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</si>
  <si>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</si>
  <si>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</si>
  <si>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</si>
  <si>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</si>
  <si>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</si>
  <si>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</si>
  <si>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</si>
  <si>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</si>
  <si>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</si>
  <si>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</si>
  <si>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</si>
  <si>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</si>
  <si>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</si>
  <si>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</si>
  <si>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</si>
  <si>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</si>
  <si>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</si>
  <si>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</si>
  <si>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</si>
  <si>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</si>
  <si>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</si>
  <si>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</si>
  <si>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</si>
  <si>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</si>
  <si>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</si>
  <si>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</si>
  <si>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</si>
  <si>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</si>
  <si>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</si>
  <si>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</si>
  <si>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</si>
  <si>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</si>
  <si>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</si>
  <si>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</si>
  <si>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</si>
  <si>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</si>
  <si>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</si>
  <si>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</si>
  <si>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</si>
  <si>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</si>
  <si>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</si>
  <si>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</si>
  <si>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</si>
  <si>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</si>
  <si>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</si>
  <si>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</si>
  <si>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</si>
  <si>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</si>
  <si>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</si>
  <si>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</si>
  <si>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</si>
  <si>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</si>
  <si>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</si>
  <si>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</si>
  <si>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</si>
  <si>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</si>
  <si>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</si>
  <si>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</si>
  <si>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</si>
  <si>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</si>
  <si>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</si>
  <si>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</si>
  <si>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</si>
  <si>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</si>
  <si>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</si>
  <si>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</si>
  <si>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</si>
  <si>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</si>
  <si>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</si>
  <si>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</si>
  <si>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</si>
  <si>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</si>
  <si>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</si>
  <si>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</si>
  <si>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</si>
  <si>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</si>
  <si>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</si>
  <si>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</si>
  <si>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</si>
  <si>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</si>
  <si>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</si>
  <si>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</si>
  <si>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</si>
  <si>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</si>
  <si>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</si>
  <si>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</si>
  <si>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</si>
  <si>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</si>
  <si>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</si>
  <si>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</si>
  <si>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</si>
  <si>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</si>
  <si>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</si>
  <si>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</si>
  <si>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</si>
  <si>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</si>
  <si>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</si>
  <si>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</si>
  <si>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</si>
  <si>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</si>
  <si>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</si>
  <si>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</si>
  <si>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</si>
  <si>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</si>
  <si>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</si>
  <si>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</si>
  <si>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</si>
  <si>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</si>
  <si>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</si>
  <si>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</si>
  <si>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</si>
  <si>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</si>
  <si>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</si>
  <si>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</si>
  <si>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</si>
  <si>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</si>
  <si>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</si>
  <si>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</si>
  <si>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</si>
  <si>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</si>
  <si>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</si>
  <si>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</si>
  <si>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</si>
  <si>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</si>
  <si>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</si>
  <si>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</si>
  <si>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</si>
  <si>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</si>
  <si>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</si>
  <si>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</si>
  <si>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</si>
  <si>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</si>
  <si>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</si>
  <si>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</si>
  <si>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</si>
  <si>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</si>
  <si>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</si>
  <si>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</si>
  <si>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</si>
  <si>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</si>
  <si>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</si>
  <si>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</si>
  <si>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</si>
  <si>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</si>
  <si>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</si>
  <si>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</si>
  <si>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</si>
  <si>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</si>
  <si>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</si>
  <si>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</si>
  <si>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</si>
  <si>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</si>
  <si>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</si>
  <si>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</si>
  <si>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</si>
  <si>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</si>
  <si>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</si>
  <si>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</si>
  <si>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</si>
  <si>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</si>
  <si>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</si>
  <si>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</si>
  <si>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</si>
  <si>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</si>
  <si>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</si>
  <si>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</si>
  <si>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</si>
  <si>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</si>
  <si>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</si>
  <si>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</si>
  <si>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</si>
  <si>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</si>
  <si>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</si>
  <si>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</si>
  <si>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</si>
  <si>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</si>
  <si>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</si>
  <si>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</si>
  <si>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</si>
  <si>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</si>
  <si>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</si>
  <si>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</si>
  <si>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</si>
  <si>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</si>
  <si>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</si>
  <si>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</si>
  <si>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</si>
  <si>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</si>
  <si>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</si>
  <si>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</si>
  <si>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</si>
  <si>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</si>
  <si>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</si>
  <si>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</si>
  <si>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</si>
  <si>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</si>
  <si>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</si>
  <si>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</si>
  <si>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</si>
  <si>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</si>
  <si>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</si>
  <si>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</si>
  <si>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</si>
  <si>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</si>
  <si>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</si>
  <si>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</si>
  <si>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</si>
  <si>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</si>
  <si>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</si>
  <si>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</si>
  <si>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</si>
  <si>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</si>
  <si>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</si>
  <si>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</si>
  <si>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</si>
  <si>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</si>
  <si>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</si>
  <si>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</si>
  <si>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</si>
  <si>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</si>
  <si>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</si>
  <si>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</si>
  <si>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</si>
  <si>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</si>
  <si>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</si>
  <si>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</si>
  <si>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</si>
  <si>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</si>
  <si>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</si>
  <si>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</si>
  <si>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</si>
  <si>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</si>
  <si>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</si>
  <si>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</si>
  <si>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</si>
  <si>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</si>
  <si>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</si>
  <si>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</si>
  <si>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</si>
  <si>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</si>
  <si>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</si>
  <si>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</si>
  <si>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</si>
  <si>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</si>
  <si>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</si>
  <si>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</si>
  <si>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</si>
  <si>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</si>
  <si>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</si>
  <si>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</si>
  <si>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</si>
  <si>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</si>
  <si>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</si>
  <si>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</si>
  <si>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</si>
  <si>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</si>
  <si>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</si>
  <si>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</si>
  <si>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</si>
  <si>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</si>
  <si>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</si>
  <si>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</si>
  <si>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</si>
  <si>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</si>
  <si>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</si>
  <si>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</si>
  <si>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</si>
  <si>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</si>
  <si>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</si>
  <si>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</si>
  <si>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</si>
  <si>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</si>
  <si>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</si>
  <si>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</si>
  <si>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</si>
  <si>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</si>
  <si>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</si>
  <si>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</si>
  <si>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</si>
  <si>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</si>
  <si>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</si>
  <si>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</si>
  <si>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</si>
  <si>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</si>
  <si>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</si>
  <si>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</si>
  <si>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</si>
  <si>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</si>
  <si>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</si>
  <si>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</si>
  <si>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</si>
  <si>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</si>
  <si>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</si>
  <si>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</si>
  <si>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</si>
  <si>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</si>
  <si>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</si>
  <si>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</si>
  <si>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</si>
  <si>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</si>
  <si>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</si>
  <si>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</si>
  <si>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</si>
  <si>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</si>
  <si>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</si>
  <si>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</si>
  <si>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</si>
  <si>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</si>
  <si>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</si>
  <si>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</si>
  <si>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</si>
  <si>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</si>
  <si>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</si>
  <si>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</si>
  <si>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</si>
  <si>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</si>
  <si>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</si>
  <si>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</si>
  <si>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</si>
  <si>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</si>
  <si>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</si>
  <si>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</si>
  <si>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</si>
  <si>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</si>
  <si>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</si>
  <si>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</si>
  <si>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</si>
  <si>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</si>
  <si>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</si>
  <si>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</si>
  <si>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</si>
  <si>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</si>
  <si>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</si>
  <si>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</si>
  <si>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</si>
  <si>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</si>
  <si>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</si>
  <si>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</si>
  <si>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</si>
  <si>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</si>
  <si>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</si>
  <si>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</si>
  <si>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</si>
  <si>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</si>
  <si>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</si>
  <si>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</si>
  <si>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</si>
  <si>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</si>
  <si>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</si>
  <si>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</si>
  <si>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</si>
  <si>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</si>
  <si>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</si>
  <si>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</si>
  <si>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</si>
  <si>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</si>
  <si>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</si>
  <si>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</si>
  <si>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</si>
  <si>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</si>
  <si>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</si>
  <si>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</si>
  <si>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</si>
  <si>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</si>
  <si>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</si>
  <si>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</si>
  <si>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</si>
  <si>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</si>
  <si>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</si>
  <si>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</si>
  <si>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</si>
  <si>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</si>
  <si>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</si>
  <si>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</si>
  <si>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</si>
  <si>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</si>
  <si>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</si>
  <si>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</si>
  <si>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</si>
  <si>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</si>
  <si>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</si>
  <si>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</si>
  <si>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</si>
  <si>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</si>
  <si>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</si>
  <si>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</si>
  <si>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</si>
  <si>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</si>
  <si>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</si>
  <si>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</si>
  <si>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</si>
  <si>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</si>
  <si>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</si>
  <si>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</si>
  <si>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</si>
  <si>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</si>
  <si>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</si>
  <si>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</si>
  <si>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</si>
  <si>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</si>
  <si>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</si>
  <si>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</si>
  <si>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</si>
  <si>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</si>
  <si>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</si>
  <si>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</si>
  <si>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</si>
  <si>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</si>
  <si>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</si>
  <si>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</si>
  <si>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</si>
  <si>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</si>
  <si>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</si>
  <si>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</si>
  <si>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</si>
  <si>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</si>
  <si>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</si>
  <si>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</si>
  <si>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</si>
  <si>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</si>
  <si>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</si>
  <si>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</si>
  <si>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</si>
  <si>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</si>
  <si>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</si>
  <si>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</si>
  <si>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</si>
  <si>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</si>
  <si>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</si>
  <si>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</si>
  <si>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</si>
  <si>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</si>
  <si>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</si>
  <si>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</si>
  <si>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</si>
  <si>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</si>
  <si>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</si>
  <si>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</si>
  <si>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</si>
  <si>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</si>
  <si>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</si>
  <si>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</si>
  <si>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</si>
  <si>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</si>
  <si>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</si>
  <si>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</si>
  <si>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</si>
  <si>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</si>
  <si>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</si>
  <si>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</si>
  <si>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</si>
  <si>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</si>
  <si>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</si>
  <si>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</si>
  <si>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</si>
  <si>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</si>
  <si>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</si>
  <si>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</si>
  <si>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</si>
  <si>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</si>
  <si>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</si>
  <si>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</si>
  <si>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</si>
  <si>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</si>
  <si>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</si>
  <si>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</si>
  <si>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</si>
  <si>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</si>
  <si>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</si>
  <si>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</si>
  <si>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</si>
  <si>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</si>
  <si>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</si>
  <si>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</si>
  <si>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</si>
  <si>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</si>
  <si>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</si>
  <si>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</si>
  <si>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</si>
  <si>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</si>
  <si>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</si>
  <si>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</si>
  <si>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</si>
  <si>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</si>
  <si>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</si>
  <si>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</si>
  <si>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</si>
  <si>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</si>
  <si>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</si>
  <si>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</si>
  <si>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</si>
  <si>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</si>
  <si>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</si>
  <si>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</si>
  <si>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</si>
  <si>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</si>
  <si>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</si>
  <si>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</si>
  <si>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</si>
  <si>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</si>
  <si>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</si>
  <si>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</si>
  <si>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</si>
  <si>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</si>
  <si>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</si>
  <si>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</si>
  <si>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</si>
  <si>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</si>
  <si>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</si>
  <si>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</si>
  <si>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</si>
  <si>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</si>
  <si>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</si>
  <si>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</si>
  <si>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</si>
  <si>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</si>
  <si>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</si>
  <si>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</si>
  <si>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</si>
  <si>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</si>
  <si>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</si>
  <si>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</si>
  <si>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</si>
  <si>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</si>
  <si>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</si>
  <si>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</si>
  <si>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</si>
  <si>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</si>
  <si>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</si>
  <si>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</si>
  <si>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</si>
  <si>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</si>
  <si>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</si>
  <si>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</si>
  <si>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</si>
  <si>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</si>
  <si>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</si>
  <si>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</si>
  <si>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</si>
  <si>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</si>
  <si>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</si>
  <si>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</si>
  <si>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</si>
  <si>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</si>
  <si>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</si>
  <si>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</si>
  <si>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</si>
  <si>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</si>
  <si>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</si>
  <si>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</si>
  <si>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</si>
  <si>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</si>
  <si>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</si>
  <si>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</si>
  <si>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</si>
  <si>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</si>
  <si>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</si>
  <si>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</si>
  <si>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</si>
  <si>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</si>
  <si>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</si>
  <si>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</si>
  <si>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</si>
  <si>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</si>
  <si>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</si>
  <si>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</si>
  <si>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</si>
  <si>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</si>
  <si>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</si>
  <si>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</si>
  <si>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</si>
  <si>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</si>
  <si>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</si>
  <si>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</si>
  <si>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</si>
  <si>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</si>
  <si>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</si>
  <si>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</si>
  <si>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</si>
  <si>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</si>
  <si>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</si>
  <si>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</si>
  <si>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</si>
  <si>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</si>
  <si>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</si>
  <si>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</si>
  <si>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</si>
  <si>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</si>
  <si>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</si>
  <si>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</si>
  <si>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</si>
  <si>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</si>
  <si>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</si>
  <si>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</si>
  <si>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</si>
  <si>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</si>
  <si>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</si>
  <si>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</si>
  <si>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</si>
  <si>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</si>
  <si>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</si>
  <si>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</si>
  <si>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</si>
  <si>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</si>
  <si>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</si>
  <si>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</si>
  <si>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</si>
  <si>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</si>
  <si>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</si>
  <si>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</si>
  <si>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</si>
  <si>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</si>
  <si>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</si>
  <si>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</si>
  <si>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</si>
  <si>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</si>
  <si>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</si>
  <si>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</si>
  <si>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</si>
  <si>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</si>
  <si>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</si>
  <si>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</si>
  <si>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</si>
  <si>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</si>
  <si>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</si>
  <si>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</si>
  <si>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</si>
  <si>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</si>
  <si>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</si>
  <si>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</si>
  <si>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</si>
  <si>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</si>
  <si>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</si>
  <si>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</si>
  <si>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</si>
  <si>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</si>
  <si>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</si>
  <si>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</si>
  <si>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</si>
  <si>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</si>
  <si>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</si>
  <si>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</si>
  <si>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</si>
  <si>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</si>
  <si>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</si>
  <si>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</si>
  <si>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</si>
  <si>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</si>
  <si>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</si>
  <si>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</si>
  <si>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</si>
  <si>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</si>
  <si>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</si>
  <si>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</si>
  <si>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</si>
  <si>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</si>
  <si>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</si>
  <si>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</si>
  <si>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</si>
  <si>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</si>
  <si>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</si>
  <si>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</si>
  <si>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</si>
  <si>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</si>
  <si>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</si>
  <si>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</si>
  <si>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</si>
  <si>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</si>
  <si>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</si>
  <si>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</si>
  <si>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</si>
  <si>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</si>
  <si>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</si>
  <si>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</si>
  <si>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</si>
  <si>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</si>
  <si>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</si>
  <si>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</si>
  <si>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</si>
  <si>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</si>
  <si>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</si>
  <si>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</si>
  <si>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</si>
  <si>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</si>
  <si>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</si>
  <si>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</si>
  <si>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</si>
  <si>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</si>
  <si>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</si>
  <si>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</si>
  <si>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</si>
  <si>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</si>
  <si>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</si>
  <si>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</si>
  <si>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</si>
  <si>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</si>
  <si>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</si>
  <si>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</si>
  <si>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</si>
  <si>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</si>
  <si>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</si>
  <si>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</si>
  <si>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</si>
  <si>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</si>
  <si>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</si>
  <si>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</si>
  <si>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</si>
  <si>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</si>
  <si>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</si>
  <si>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</si>
  <si>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</si>
  <si>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</si>
  <si>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</si>
  <si>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</si>
  <si>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</si>
  <si>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</si>
  <si>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</si>
  <si>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</si>
  <si>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</si>
  <si>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</si>
  <si>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</si>
  <si>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</si>
  <si>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</si>
  <si>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</si>
  <si>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</si>
  <si>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</si>
  <si>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</si>
  <si>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</si>
  <si>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</si>
  <si>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</si>
  <si>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</si>
  <si>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</si>
  <si>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</si>
  <si>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</si>
  <si>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</si>
  <si>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</si>
  <si>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</si>
  <si>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</si>
  <si>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</si>
  <si>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</si>
  <si>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</si>
  <si>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</si>
  <si>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</si>
  <si>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</si>
  <si>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</si>
  <si>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</si>
  <si>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</si>
  <si>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</si>
  <si>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</si>
  <si>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</si>
  <si>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</si>
  <si>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</si>
  <si>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</si>
  <si>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</si>
  <si>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</si>
  <si>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</si>
  <si>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</si>
  <si>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</si>
  <si>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</si>
  <si>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</si>
  <si>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</si>
  <si>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</si>
  <si>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</si>
  <si>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</si>
  <si>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</si>
  <si>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</si>
  <si>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</si>
  <si>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</si>
  <si>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</si>
  <si>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</si>
  <si>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</si>
  <si>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</si>
  <si>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</si>
  <si>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</si>
  <si>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</si>
  <si>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</si>
  <si>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</si>
  <si>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</si>
  <si>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</si>
  <si>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</si>
  <si>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</si>
  <si>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</si>
  <si>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</si>
  <si>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</si>
  <si>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</si>
  <si>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</si>
  <si>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</si>
  <si>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</si>
  <si>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</si>
  <si>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</si>
  <si>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</si>
  <si>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</si>
  <si>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</si>
  <si>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</si>
  <si>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</si>
  <si>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</si>
  <si>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</si>
  <si>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</si>
  <si>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</si>
  <si>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</si>
  <si>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</si>
  <si>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</si>
  <si>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</si>
  <si>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</si>
  <si>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</si>
  <si>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</si>
  <si>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</si>
  <si>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</si>
  <si>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</si>
  <si>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</si>
  <si>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</si>
  <si>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</si>
  <si>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</si>
  <si>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</si>
  <si>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</si>
  <si>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</si>
  <si>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</si>
  <si>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</si>
  <si>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</si>
  <si>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</si>
  <si>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</si>
  <si>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</si>
  <si>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</si>
  <si>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</si>
  <si>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</si>
  <si>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</si>
  <si>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</si>
  <si>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</si>
  <si>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</si>
  <si>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</si>
  <si>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</si>
  <si>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</si>
  <si>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</si>
  <si>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</si>
  <si>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</si>
  <si>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</si>
  <si>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</si>
  <si>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</si>
  <si>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</si>
  <si>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</si>
  <si>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</si>
  <si>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</si>
  <si>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</si>
  <si>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</si>
  <si>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</si>
  <si>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</si>
  <si>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</si>
  <si>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</si>
  <si>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</si>
  <si>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</si>
  <si>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</si>
  <si>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</si>
  <si>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</si>
  <si>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</si>
  <si>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</si>
  <si>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</si>
  <si>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</si>
  <si>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</si>
  <si>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</si>
  <si>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</si>
  <si>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</si>
  <si>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</si>
  <si>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</si>
  <si>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</si>
  <si>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</si>
  <si>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</si>
  <si>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</si>
  <si>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</si>
  <si>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</si>
  <si>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</si>
  <si>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</si>
  <si>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</si>
  <si>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</si>
  <si>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</si>
  <si>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</si>
  <si>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</si>
  <si>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</si>
  <si>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</si>
  <si>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</si>
  <si>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</si>
  <si>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</si>
  <si>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</si>
  <si>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</si>
  <si>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</si>
  <si>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</si>
  <si>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</si>
  <si>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</si>
  <si>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</si>
  <si>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</si>
  <si>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</si>
  <si>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</si>
  <si>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</si>
  <si>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</si>
  <si>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</si>
  <si>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</si>
  <si>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</si>
  <si>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</si>
  <si>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</si>
  <si>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</si>
  <si>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</si>
  <si>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</si>
  <si>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</si>
  <si>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</si>
  <si>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</si>
  <si>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</si>
  <si>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</si>
  <si>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</si>
  <si>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</si>
  <si>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</si>
  <si>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</si>
  <si>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</si>
  <si>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</si>
  <si>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</si>
  <si>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</si>
  <si>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</si>
  <si>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</si>
  <si>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</si>
  <si>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</si>
  <si>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</si>
  <si>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</si>
  <si>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</si>
  <si>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</si>
  <si>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</si>
  <si>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</si>
  <si>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</si>
  <si>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</si>
  <si>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</si>
  <si>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</si>
  <si>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</si>
  <si>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</si>
  <si>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</si>
  <si>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</si>
  <si>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</si>
  <si>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</si>
  <si>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</si>
  <si>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</si>
  <si>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</si>
  <si>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</si>
  <si>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</si>
  <si>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</si>
  <si>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</si>
  <si>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</si>
  <si>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</si>
  <si>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</si>
  <si>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</si>
  <si>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</si>
  <si>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</si>
  <si>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</si>
  <si>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</si>
  <si>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</si>
  <si>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</si>
  <si>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</si>
  <si>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</si>
  <si>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</si>
  <si>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</si>
  <si>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</si>
  <si>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</si>
  <si>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</si>
  <si>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</si>
  <si>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</si>
  <si>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</si>
  <si>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</si>
  <si>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</si>
  <si>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</si>
  <si>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</si>
  <si>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</si>
  <si>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</si>
  <si>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</si>
  <si>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</si>
  <si>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</si>
  <si>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</si>
  <si>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</si>
  <si>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</si>
  <si>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</si>
  <si>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</si>
  <si>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</si>
  <si>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</si>
  <si>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</si>
  <si>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</si>
  <si>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</si>
  <si>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</si>
  <si>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</si>
  <si>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</si>
  <si>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</si>
  <si>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</si>
  <si>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</si>
  <si>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</si>
  <si>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</si>
  <si>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</si>
  <si>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</si>
  <si>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</si>
  <si>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</si>
  <si>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</si>
  <si>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</si>
  <si>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</si>
  <si>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</si>
  <si>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</si>
  <si>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</si>
  <si>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</si>
  <si>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</si>
  <si>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</si>
  <si>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</si>
  <si>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</si>
  <si>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</si>
  <si>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</si>
  <si>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</si>
  <si>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</si>
  <si>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</si>
  <si>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</si>
  <si>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</si>
  <si>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</si>
  <si>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</si>
  <si>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</si>
  <si>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</si>
  <si>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</si>
  <si>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</si>
  <si>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</si>
  <si>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</si>
  <si>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</si>
  <si>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</si>
  <si>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</si>
  <si>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</si>
  <si>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</si>
  <si>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</si>
  <si>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</si>
  <si>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</si>
  <si>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</si>
  <si>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</si>
  <si>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</si>
  <si>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</si>
  <si>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</si>
  <si>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</si>
  <si>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</si>
  <si>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</si>
  <si>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</si>
  <si>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</si>
  <si>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</si>
  <si>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</si>
  <si>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</si>
  <si>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</si>
  <si>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</si>
  <si>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</si>
  <si>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</si>
  <si>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</si>
  <si>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</si>
  <si>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</si>
  <si>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</si>
  <si>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</si>
  <si>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</si>
  <si>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</si>
  <si>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</si>
  <si>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</si>
  <si>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</si>
  <si>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</si>
  <si>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</si>
  <si>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</si>
  <si>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</si>
  <si>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</si>
  <si>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</si>
  <si>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</si>
  <si>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</si>
  <si>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</si>
  <si>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</si>
  <si>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</si>
  <si>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</si>
  <si>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</si>
  <si>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</si>
  <si>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</si>
  <si>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</si>
  <si>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</si>
  <si>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</si>
  <si>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</si>
  <si>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</si>
  <si>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</si>
  <si>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</si>
  <si>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</si>
  <si>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</si>
  <si>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</si>
  <si>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</si>
  <si>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</si>
  <si>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</si>
  <si>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</si>
  <si>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</si>
  <si>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</si>
  <si>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</si>
  <si>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</si>
  <si>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</si>
  <si>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</si>
  <si>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</si>
  <si>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</si>
  <si>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</si>
  <si>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</si>
  <si>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</si>
  <si>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</si>
  <si>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</si>
  <si>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</si>
  <si>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</si>
  <si>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</si>
  <si>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</si>
  <si>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</si>
  <si>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</si>
  <si>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</si>
  <si>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</si>
  <si>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</si>
  <si>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</si>
  <si>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</si>
  <si>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</si>
  <si>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</si>
  <si>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</si>
  <si>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</si>
  <si>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</si>
  <si>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</si>
  <si>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</si>
  <si>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</si>
  <si>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</si>
  <si>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</si>
  <si>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</si>
  <si>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</si>
  <si>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</si>
  <si>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</si>
  <si>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</si>
  <si>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</si>
  <si>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</si>
  <si>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</si>
  <si>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</si>
  <si>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</si>
  <si>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</si>
  <si>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</si>
  <si>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</si>
  <si>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</si>
  <si>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</si>
  <si>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</si>
  <si>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</si>
  <si>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</si>
  <si>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</si>
  <si>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</si>
  <si>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</si>
  <si>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</si>
  <si>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</si>
  <si>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</si>
  <si>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</si>
  <si>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</si>
  <si>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</si>
  <si>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</si>
  <si>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</si>
  <si>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</si>
  <si>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</si>
  <si>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</si>
  <si>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</si>
  <si>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</si>
  <si>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</si>
  <si>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</si>
  <si>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</si>
  <si>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</si>
  <si>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</si>
  <si>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</si>
  <si>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</si>
  <si>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</si>
  <si>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</si>
  <si>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</si>
  <si>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</si>
  <si>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</si>
  <si>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</si>
  <si>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</si>
  <si>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</si>
  <si>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</si>
  <si>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</si>
  <si>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</si>
  <si>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</si>
  <si>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</si>
  <si>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</si>
  <si>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</si>
  <si>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</si>
  <si>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</si>
  <si>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</si>
  <si>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</si>
  <si>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</si>
  <si>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</si>
  <si>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</si>
  <si>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</si>
  <si>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</si>
  <si>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</si>
  <si>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</si>
  <si>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</si>
  <si>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</si>
  <si>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</si>
  <si>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</si>
  <si>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</si>
  <si>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</si>
  <si>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</si>
  <si>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</si>
  <si>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</si>
  <si>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</si>
  <si>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</si>
  <si>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</si>
  <si>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</si>
  <si>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</si>
  <si>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</si>
  <si>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</si>
  <si>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</si>
  <si>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</si>
  <si>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</si>
  <si>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</si>
  <si>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</si>
  <si>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</si>
  <si>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</si>
  <si>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</si>
  <si>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</si>
  <si>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</si>
  <si>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</si>
  <si>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</si>
  <si>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</si>
  <si>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</si>
  <si>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</si>
  <si>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</si>
  <si>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</si>
  <si>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</si>
  <si>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</si>
  <si>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</si>
  <si>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</si>
  <si>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</si>
  <si>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</si>
  <si>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</si>
  <si>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</si>
  <si>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</si>
  <si>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</si>
  <si>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</si>
  <si>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</si>
  <si>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</si>
  <si>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</si>
  <si>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</si>
  <si>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</si>
  <si>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</si>
  <si>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</si>
  <si>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</si>
  <si>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</si>
  <si>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</si>
  <si>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</si>
  <si>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</si>
  <si>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</si>
  <si>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</si>
  <si>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</si>
  <si>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</si>
  <si>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</si>
  <si>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</si>
  <si>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</si>
  <si>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</si>
  <si>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</si>
  <si>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</si>
  <si>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</si>
  <si>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</si>
  <si>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</si>
  <si>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</si>
  <si>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</si>
  <si>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</si>
  <si>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</si>
  <si>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</si>
  <si>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</si>
  <si>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</si>
  <si>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</si>
  <si>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</si>
  <si>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</si>
  <si>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</si>
  <si>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</si>
  <si>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</si>
  <si>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</si>
  <si>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</si>
  <si>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</si>
  <si>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</si>
  <si>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</si>
  <si>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</si>
  <si>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</si>
  <si>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</si>
  <si>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</si>
  <si>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</si>
  <si>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</si>
  <si>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</si>
  <si>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</si>
  <si>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</si>
  <si>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</si>
  <si>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</si>
  <si>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</si>
  <si>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</si>
  <si>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</si>
  <si>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</si>
  <si>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</si>
  <si>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</si>
  <si>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</si>
  <si>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</si>
  <si>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</si>
  <si>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</si>
  <si>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</si>
  <si>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</si>
  <si>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</si>
  <si>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</si>
  <si>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</si>
  <si>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</si>
  <si>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</si>
  <si>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</si>
  <si>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</si>
  <si>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</si>
  <si>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</si>
  <si>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</si>
  <si>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</si>
  <si>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</si>
  <si>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</si>
  <si>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</si>
  <si>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</si>
  <si>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</si>
  <si>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</si>
  <si>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</si>
  <si>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</si>
  <si>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</si>
  <si>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</si>
  <si>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</si>
  <si>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</si>
  <si>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</si>
  <si>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</si>
  <si>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</si>
  <si>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</si>
  <si>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</si>
  <si>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</si>
  <si>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</si>
  <si>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</si>
  <si>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</si>
  <si>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</si>
  <si>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</si>
  <si>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</si>
  <si>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</si>
  <si>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</si>
  <si>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</si>
  <si>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</si>
  <si>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</si>
  <si>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</si>
  <si>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</si>
  <si>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</si>
  <si>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</si>
  <si>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</si>
  <si>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</si>
  <si>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</si>
  <si>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</si>
  <si>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</si>
  <si>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</si>
  <si>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</si>
  <si>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</si>
  <si>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</si>
  <si>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</si>
  <si>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</si>
  <si>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</si>
  <si>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</si>
  <si>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</si>
  <si>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</si>
  <si>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</si>
  <si>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</si>
  <si>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</si>
  <si>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</si>
  <si>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</si>
  <si>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</si>
  <si>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</si>
  <si>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</si>
  <si>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</si>
  <si>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</si>
  <si>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</si>
  <si>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</si>
  <si>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</si>
  <si>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</si>
  <si>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</si>
  <si>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</si>
  <si>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</si>
  <si>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</si>
  <si>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</si>
  <si>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</si>
  <si>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</si>
  <si>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</si>
  <si>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</si>
  <si>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</si>
  <si>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</si>
  <si>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</si>
  <si>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</si>
  <si>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</si>
  <si>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</si>
  <si>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</si>
  <si>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</si>
  <si>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</si>
  <si>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</si>
  <si>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</si>
  <si>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</si>
  <si>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</si>
  <si>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</si>
  <si>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</si>
  <si>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</si>
  <si>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</si>
  <si>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</si>
  <si>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</si>
  <si>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</si>
  <si>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</si>
  <si>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</si>
  <si>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</si>
  <si>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</si>
  <si>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</si>
  <si>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</si>
  <si>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</si>
  <si>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</si>
  <si>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</si>
  <si>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</si>
  <si>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</si>
  <si>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</si>
  <si>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</si>
  <si>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</si>
  <si>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</si>
  <si>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</si>
  <si>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</si>
  <si>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</si>
  <si>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</si>
  <si>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</si>
  <si>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</si>
  <si>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</si>
  <si>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</si>
  <si>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</si>
  <si>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</si>
  <si>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</si>
  <si>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</si>
  <si>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</si>
  <si>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</si>
  <si>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</si>
  <si>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</si>
  <si>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</si>
  <si>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</si>
  <si>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</si>
  <si>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</si>
  <si>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</si>
  <si>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</si>
  <si>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</si>
  <si>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</si>
  <si>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</si>
  <si>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</si>
  <si>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</si>
  <si>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</si>
  <si>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</si>
  <si>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</si>
  <si>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</si>
  <si>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</si>
  <si>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</si>
  <si>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</si>
  <si>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</si>
  <si>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</si>
  <si>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</si>
  <si>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</si>
  <si>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</si>
  <si>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</si>
  <si>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</si>
  <si>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</si>
  <si>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</si>
  <si>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</si>
  <si>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</si>
  <si>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</si>
  <si>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</si>
  <si>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</si>
  <si>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</si>
  <si>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</si>
  <si>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</si>
  <si>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</si>
  <si>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</si>
  <si>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</si>
  <si>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</si>
  <si>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</si>
  <si>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</si>
  <si>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</si>
  <si>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</si>
  <si>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</si>
  <si>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</si>
  <si>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</si>
  <si>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</si>
  <si>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</si>
  <si>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</si>
  <si>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</si>
  <si>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</si>
  <si>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</si>
  <si>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</si>
  <si>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</si>
  <si>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</si>
  <si>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</si>
  <si>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</si>
  <si>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</si>
  <si>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</si>
  <si>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</si>
  <si>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</si>
  <si>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</si>
  <si>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</si>
  <si>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</si>
  <si>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</si>
  <si>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</si>
  <si>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</si>
  <si>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</si>
  <si>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</si>
  <si>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</si>
  <si>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</si>
  <si>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</si>
  <si>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</si>
  <si>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</si>
  <si>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</si>
  <si>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</si>
  <si>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</si>
  <si>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</si>
  <si>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</si>
  <si>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</si>
  <si>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</si>
  <si>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</si>
  <si>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</si>
  <si>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</si>
  <si>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</si>
  <si>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</si>
  <si>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</si>
  <si>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</si>
  <si>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</si>
  <si>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</si>
  <si>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</si>
  <si>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</si>
  <si>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</si>
  <si>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</si>
  <si>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</si>
  <si>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</si>
  <si>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</si>
  <si>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</si>
  <si>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</si>
  <si>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</si>
  <si>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</si>
  <si>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</si>
  <si>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</si>
  <si>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</si>
  <si>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</si>
  <si>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</si>
  <si>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</si>
  <si>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</si>
  <si>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</si>
  <si>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</si>
  <si>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</si>
  <si>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</si>
  <si>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</si>
  <si>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</si>
  <si>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</si>
  <si>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</si>
  <si>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</si>
  <si>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</si>
  <si>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</si>
  <si>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</si>
  <si>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</si>
  <si>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</si>
  <si>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</si>
  <si>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</si>
  <si>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</si>
  <si>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</si>
  <si>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</si>
  <si>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</si>
  <si>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</si>
  <si>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</si>
  <si>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</si>
  <si>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</si>
  <si>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</si>
  <si>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</si>
  <si>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</si>
  <si>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</si>
  <si>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</si>
  <si>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</si>
  <si>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</si>
  <si>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</si>
  <si>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</si>
  <si>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</si>
  <si>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</si>
  <si>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</si>
  <si>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</si>
  <si>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</si>
  <si>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</si>
  <si>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</si>
  <si>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</si>
  <si>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</si>
  <si>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</si>
  <si>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</si>
  <si>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</si>
  <si>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</si>
  <si>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</si>
  <si>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</si>
  <si>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</si>
  <si>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</si>
  <si>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</si>
  <si>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</si>
  <si>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</si>
  <si>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</si>
  <si>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</si>
  <si>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</si>
  <si>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</si>
  <si>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</si>
  <si>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</si>
  <si>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</si>
  <si>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</si>
  <si>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</si>
  <si>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</si>
  <si>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</si>
  <si>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</si>
  <si>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</si>
  <si>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</si>
  <si>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</si>
  <si>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</si>
  <si>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</si>
  <si>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</si>
  <si>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</si>
  <si>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</si>
  <si>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</si>
  <si>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</si>
  <si>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</si>
  <si>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</si>
  <si>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</si>
  <si>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</si>
  <si>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</si>
  <si>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</si>
  <si>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</si>
  <si>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</si>
  <si>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</si>
  <si>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</si>
  <si>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</si>
  <si>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</si>
  <si>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</si>
  <si>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</si>
  <si>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</si>
  <si>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</si>
  <si>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</si>
  <si>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</si>
  <si>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</si>
  <si>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</si>
  <si>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</si>
  <si>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</si>
  <si>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</si>
  <si>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</si>
  <si>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</si>
  <si>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</si>
  <si>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</si>
  <si>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</si>
  <si>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</si>
  <si>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</si>
  <si>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</si>
  <si>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</si>
  <si>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</si>
  <si>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</si>
  <si>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</si>
  <si>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</si>
  <si>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</si>
  <si>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</si>
  <si>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</si>
  <si>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</si>
  <si>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</si>
  <si>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</si>
  <si>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</si>
  <si>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</si>
  <si>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</si>
  <si>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</si>
  <si>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</si>
  <si>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</si>
  <si>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</si>
  <si>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</si>
  <si>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</si>
  <si>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</si>
  <si>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</si>
  <si>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</si>
  <si>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</si>
  <si>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</si>
  <si>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</si>
  <si>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</si>
  <si>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</si>
  <si>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</si>
  <si>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</si>
  <si>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</si>
  <si>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</si>
  <si>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</si>
  <si>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</si>
  <si>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</si>
  <si>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</si>
  <si>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</si>
  <si>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</si>
  <si>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</si>
  <si>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</si>
  <si>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</si>
  <si>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</si>
  <si>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</si>
  <si>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</si>
  <si>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</si>
  <si>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</si>
  <si>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</si>
  <si>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</si>
  <si>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</si>
  <si>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</si>
  <si>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</si>
  <si>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</si>
  <si>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</si>
  <si>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</si>
  <si>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</si>
  <si>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</si>
  <si>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</si>
  <si>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</si>
  <si>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</si>
  <si>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</si>
  <si>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</si>
  <si>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</si>
  <si>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</si>
  <si>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</si>
  <si>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</si>
  <si>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</si>
  <si>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</si>
  <si>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</si>
  <si>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</si>
  <si>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</si>
  <si>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</si>
  <si>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</si>
  <si>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</si>
  <si>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</si>
  <si>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</si>
  <si>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</si>
  <si>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</si>
  <si>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</si>
  <si>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</si>
  <si>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</si>
  <si>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</si>
  <si>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</si>
  <si>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</si>
  <si>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</si>
  <si>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</si>
  <si>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</si>
  <si>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</si>
  <si>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</si>
  <si>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</si>
  <si>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</si>
  <si>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</si>
  <si>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</si>
  <si>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</si>
  <si>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</si>
  <si>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</si>
  <si>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</si>
  <si>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</si>
  <si>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</si>
  <si>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</si>
  <si>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</si>
  <si>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</si>
  <si>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</si>
  <si>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</si>
  <si>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</si>
  <si>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</si>
  <si>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</si>
  <si>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</si>
  <si>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</si>
  <si>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</si>
  <si>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</si>
  <si>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</si>
  <si>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</si>
  <si>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</si>
  <si>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</si>
  <si>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</si>
  <si>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</si>
  <si>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</si>
  <si>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</si>
  <si>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</si>
  <si>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</si>
  <si>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</si>
  <si>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</si>
  <si>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</si>
  <si>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</si>
  <si>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</si>
  <si>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</si>
  <si>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</si>
  <si>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</si>
  <si>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</si>
  <si>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</si>
  <si>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</si>
  <si>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</si>
  <si>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</si>
  <si>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</si>
  <si>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</si>
  <si>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</si>
  <si>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</si>
  <si>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</si>
  <si>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</si>
  <si>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</si>
  <si>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</si>
  <si>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</si>
  <si>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</si>
  <si>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</si>
  <si>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</si>
  <si>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</si>
  <si>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</si>
  <si>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</si>
  <si>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</si>
  <si>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</si>
  <si>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</si>
  <si>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</si>
  <si>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</si>
  <si>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</si>
  <si>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</si>
  <si>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</si>
  <si>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</si>
  <si>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</si>
  <si>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</si>
  <si>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</si>
  <si>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</si>
  <si>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</si>
  <si>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</si>
  <si>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</si>
  <si>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</si>
  <si>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</si>
  <si>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</si>
  <si>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</si>
  <si>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</si>
  <si>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</si>
  <si>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</si>
  <si>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</si>
  <si>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</si>
  <si>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</si>
  <si>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</si>
  <si>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</si>
  <si>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</si>
  <si>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</si>
  <si>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</si>
  <si>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</si>
  <si>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</si>
  <si>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</si>
  <si>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</si>
  <si>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</si>
  <si>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</si>
  <si>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</si>
  <si>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</si>
  <si>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</si>
  <si>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</si>
  <si>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</si>
  <si>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</si>
  <si>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</si>
  <si>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</si>
  <si>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</si>
  <si>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</si>
  <si>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</si>
  <si>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</si>
  <si>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</si>
  <si>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</si>
  <si>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</si>
  <si>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</si>
  <si>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</si>
  <si>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</si>
  <si>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</si>
  <si>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</si>
  <si>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</si>
  <si>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</si>
  <si>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</si>
  <si>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</si>
  <si>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</si>
  <si>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</si>
  <si>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</si>
  <si>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</si>
  <si>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</si>
  <si>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</si>
  <si>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</si>
  <si>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</si>
  <si>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</si>
  <si>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</si>
  <si>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</si>
  <si>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</si>
  <si>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</si>
  <si>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</si>
  <si>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</si>
  <si>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</si>
  <si>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</si>
  <si>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</si>
  <si>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</si>
  <si>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</si>
  <si>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</si>
  <si>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</si>
  <si>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</si>
  <si>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</si>
  <si>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</si>
  <si>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</si>
  <si>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</si>
  <si>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</si>
  <si>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</si>
  <si>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</si>
  <si>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</si>
  <si>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</si>
  <si>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</si>
  <si>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</si>
  <si>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</si>
  <si>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</si>
  <si>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</si>
  <si>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</si>
  <si>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</si>
  <si>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</si>
  <si>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</si>
  <si>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</si>
  <si>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</si>
  <si>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</si>
  <si>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</si>
  <si>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</si>
  <si>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</si>
  <si>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</si>
  <si>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</si>
  <si>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</si>
  <si>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</si>
  <si>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</si>
  <si>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</si>
  <si>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</si>
  <si>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</si>
  <si>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</si>
  <si>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</si>
  <si>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</si>
  <si>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</si>
  <si>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</si>
  <si>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</si>
  <si>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</si>
  <si>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</si>
  <si>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</si>
  <si>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</si>
  <si>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</si>
  <si>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</si>
  <si>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</si>
  <si>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</si>
  <si>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</si>
  <si>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</si>
  <si>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</si>
  <si>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</si>
  <si>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</si>
  <si>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</si>
  <si>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</si>
  <si>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</si>
  <si>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</si>
  <si>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</si>
  <si>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</si>
  <si>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</si>
  <si>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</si>
  <si>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</si>
  <si>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</si>
  <si>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</si>
  <si>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</si>
  <si>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</si>
  <si>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</si>
  <si>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</si>
  <si>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</si>
  <si>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</si>
  <si>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</si>
  <si>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</si>
  <si>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</si>
  <si>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</si>
  <si>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</si>
  <si>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</si>
  <si>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</si>
  <si>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</si>
  <si>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</si>
  <si>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</si>
  <si>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</si>
  <si>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</si>
  <si>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</si>
  <si>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</si>
  <si>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</si>
  <si>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</si>
  <si>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</si>
  <si>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</si>
  <si>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</si>
  <si>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</si>
  <si>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</si>
  <si>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</si>
  <si>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</si>
  <si>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</si>
  <si>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</si>
  <si>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</si>
  <si>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</si>
  <si>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</si>
  <si>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</si>
  <si>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</si>
  <si>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</si>
  <si>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</si>
  <si>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</si>
  <si>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</si>
  <si>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</si>
  <si>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</si>
  <si>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</si>
  <si>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</si>
  <si>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</si>
  <si>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</si>
  <si>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</si>
  <si>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</si>
  <si>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</si>
  <si>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</si>
  <si>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</si>
  <si>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</si>
  <si>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</si>
  <si>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</si>
  <si>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</si>
  <si>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</si>
  <si>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</si>
  <si>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</si>
  <si>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</si>
  <si>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</si>
  <si>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</si>
  <si>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</si>
  <si>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</si>
  <si>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</si>
  <si>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</si>
  <si>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</si>
  <si>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</si>
  <si>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</si>
  <si>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</si>
  <si>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</si>
  <si>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</si>
  <si>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</si>
  <si>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</si>
  <si>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</si>
  <si>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</si>
  <si>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</si>
  <si>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</si>
  <si>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</si>
  <si>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</si>
  <si>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</si>
  <si>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</si>
  <si>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</si>
  <si>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</si>
  <si>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</si>
  <si>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</si>
  <si>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</si>
  <si>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</si>
  <si>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</si>
  <si>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</si>
  <si>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</si>
  <si>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</si>
  <si>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</si>
  <si>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</si>
  <si>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</si>
  <si>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</si>
  <si>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</si>
  <si>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</si>
  <si>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</si>
  <si>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</si>
  <si>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</si>
  <si>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</si>
  <si>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</si>
  <si>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</si>
  <si>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</si>
  <si>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</si>
  <si>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</si>
  <si>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</si>
  <si>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</si>
  <si>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</si>
  <si>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</si>
  <si>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</si>
  <si>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</si>
  <si>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</si>
  <si>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</si>
  <si>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</si>
  <si>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</si>
  <si>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</si>
  <si>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</si>
  <si>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</si>
  <si>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</si>
  <si>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</si>
  <si>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</si>
  <si>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</si>
  <si>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</si>
  <si>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</si>
  <si>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</si>
  <si>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</si>
  <si>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</si>
  <si>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</si>
  <si>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</si>
  <si>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</si>
  <si>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</si>
  <si>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</si>
  <si>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</si>
  <si>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</si>
  <si>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</si>
  <si>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</si>
  <si>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</si>
  <si>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</si>
  <si>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</si>
  <si>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</si>
  <si>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</si>
  <si>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</si>
  <si>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</si>
  <si>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</si>
  <si>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</si>
  <si>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</si>
  <si>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</si>
  <si>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</si>
  <si>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</si>
  <si>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</si>
  <si>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</si>
  <si>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</si>
  <si>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</si>
  <si>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</si>
  <si>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</si>
  <si>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</si>
  <si>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</si>
  <si>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</si>
  <si>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</si>
  <si>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</si>
  <si>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</si>
  <si>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</si>
  <si>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</si>
  <si>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</si>
  <si>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</si>
  <si>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</si>
  <si>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</si>
  <si>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</si>
  <si>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</si>
  <si>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</si>
  <si>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</si>
  <si>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</si>
  <si>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</si>
  <si>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</si>
  <si>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</si>
  <si>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</si>
  <si>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</si>
  <si>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</si>
  <si>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</si>
  <si>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</si>
  <si>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</si>
  <si>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</si>
  <si>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</si>
  <si>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</si>
  <si>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</si>
  <si>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</si>
  <si>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</si>
  <si>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</si>
  <si>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</si>
  <si>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</si>
  <si>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</si>
  <si>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</si>
  <si>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</si>
  <si>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</si>
  <si>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</si>
  <si>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</si>
  <si>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</si>
  <si>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</si>
  <si>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</si>
  <si>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</si>
  <si>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</si>
  <si>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</si>
  <si>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</si>
  <si>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</si>
  <si>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</si>
  <si>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</si>
  <si>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</si>
  <si>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</si>
  <si>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</si>
  <si>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</si>
  <si>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</si>
  <si>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</si>
  <si>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</si>
  <si>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</si>
  <si>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</si>
  <si>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</si>
  <si>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</si>
  <si>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</si>
  <si>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</si>
  <si>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</si>
  <si>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</si>
  <si>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</si>
  <si>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</si>
  <si>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</si>
  <si>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</si>
  <si>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</si>
  <si>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</si>
  <si>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</si>
  <si>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</si>
  <si>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</si>
  <si>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</si>
  <si>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</si>
  <si>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</si>
  <si>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</si>
  <si>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</si>
  <si>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</si>
  <si>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</si>
  <si>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</si>
  <si>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</si>
  <si>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</si>
  <si>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</si>
  <si>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</si>
  <si>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</si>
  <si>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</si>
  <si>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</si>
  <si>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</si>
  <si>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</si>
  <si>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</si>
  <si>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</si>
  <si>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</si>
  <si>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</si>
  <si>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</si>
  <si>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</si>
  <si>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</si>
  <si>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</si>
  <si>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</si>
  <si>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</si>
  <si>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</si>
  <si>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</si>
  <si>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</si>
  <si>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</si>
  <si>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</si>
  <si>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</si>
  <si>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</si>
  <si>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</si>
  <si>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</si>
  <si>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</si>
  <si>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</si>
  <si>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</si>
  <si>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</si>
  <si>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</si>
  <si>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</si>
  <si>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</si>
  <si>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</si>
  <si>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</si>
  <si>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</si>
  <si>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</si>
  <si>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</si>
  <si>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</si>
  <si>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</si>
  <si>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</si>
  <si>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</si>
  <si>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</si>
  <si>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</si>
  <si>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</si>
  <si>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</si>
  <si>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</si>
  <si>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</si>
  <si>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</si>
  <si>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</si>
  <si>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</si>
  <si>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</si>
  <si>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</si>
  <si>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</si>
  <si>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</si>
  <si>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</si>
  <si>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</si>
  <si>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</si>
  <si>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</si>
  <si>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</si>
  <si>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</si>
  <si>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</si>
  <si>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</si>
  <si>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</si>
  <si>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</si>
  <si>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</si>
  <si>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</si>
  <si>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</si>
  <si>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</si>
  <si>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</si>
  <si>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</si>
  <si>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</si>
  <si>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</si>
  <si>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</si>
  <si>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</si>
  <si>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</si>
  <si>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</si>
  <si>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</si>
  <si>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</si>
  <si>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</si>
  <si>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</si>
  <si>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</si>
  <si>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</si>
  <si>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</si>
  <si>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</si>
  <si>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</si>
  <si>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</si>
  <si>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</si>
  <si>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</si>
  <si>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</si>
  <si>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</si>
  <si>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</si>
  <si>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</si>
  <si>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</si>
  <si>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</si>
  <si>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</si>
  <si>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</si>
  <si>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</si>
  <si>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</si>
  <si>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</si>
  <si>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</si>
  <si>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</si>
  <si>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</si>
  <si>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</si>
  <si>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</si>
  <si>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</si>
  <si>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</si>
  <si>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</si>
  <si>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</si>
  <si>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</si>
  <si>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</si>
  <si>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</si>
  <si>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</si>
  <si>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</si>
  <si>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</si>
  <si>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</si>
  <si>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</si>
  <si>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</si>
  <si>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</si>
  <si>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</si>
  <si>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</si>
  <si>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</si>
  <si>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</si>
  <si>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</si>
  <si>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</si>
  <si>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</si>
  <si>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</si>
  <si>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</si>
  <si>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</si>
  <si>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</si>
  <si>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</si>
  <si>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</si>
  <si>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</si>
  <si>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</si>
  <si>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</si>
  <si>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</si>
  <si>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</si>
  <si>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</si>
  <si>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</si>
  <si>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</si>
  <si>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</si>
  <si>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</si>
  <si>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</si>
  <si>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</si>
  <si>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</si>
  <si>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</si>
  <si>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</si>
  <si>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</si>
  <si>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</si>
  <si>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</si>
  <si>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</si>
  <si>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</si>
  <si>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</si>
  <si>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</si>
  <si>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</si>
  <si>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</si>
  <si>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</si>
  <si>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</si>
  <si>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</si>
  <si>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</si>
  <si>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</si>
  <si>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</si>
  <si>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</si>
  <si>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</si>
  <si>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</si>
  <si>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</si>
  <si>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</si>
  <si>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</si>
  <si>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</si>
  <si>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</si>
  <si>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</si>
  <si>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</si>
  <si>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</si>
  <si>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</si>
  <si>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</si>
  <si>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</si>
  <si>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</si>
  <si>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</si>
  <si>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</si>
  <si>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</si>
  <si>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</si>
  <si>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</si>
  <si>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</si>
  <si>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</si>
  <si>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</si>
  <si>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</si>
  <si>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</si>
  <si>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</si>
  <si>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</si>
  <si>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</si>
  <si>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</si>
  <si>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</si>
  <si>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</si>
  <si>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</si>
  <si>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</si>
  <si>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</si>
  <si>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</si>
  <si>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</si>
  <si>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</si>
  <si>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</si>
  <si>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</si>
  <si>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</si>
  <si>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</si>
  <si>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</si>
  <si>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</si>
  <si>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</si>
  <si>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</si>
  <si>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</si>
  <si>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</si>
  <si>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</si>
  <si>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</si>
  <si>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</si>
  <si>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</si>
  <si>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</si>
  <si>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</si>
  <si>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</si>
  <si>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</si>
  <si>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</si>
  <si>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</si>
  <si>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</si>
  <si>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</si>
  <si>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</si>
  <si>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</si>
  <si>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</si>
  <si>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</si>
  <si>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</si>
  <si>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</si>
  <si>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</si>
  <si>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</si>
  <si>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</si>
  <si>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</si>
  <si>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</si>
  <si>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</si>
  <si>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</si>
  <si>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</si>
  <si>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</si>
  <si>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</si>
  <si>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</si>
  <si>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</si>
  <si>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</si>
  <si>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</si>
  <si>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</si>
  <si>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</si>
  <si>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</si>
  <si>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</si>
  <si>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</si>
  <si>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</si>
  <si>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</si>
  <si>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</si>
  <si>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</si>
  <si>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</si>
  <si>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</si>
  <si>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</si>
  <si>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</si>
  <si>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</si>
  <si>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</si>
  <si>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</si>
  <si>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</si>
  <si>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</si>
  <si>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</si>
  <si>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</si>
  <si>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</si>
  <si>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</si>
  <si>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</si>
  <si>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</si>
  <si>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</si>
  <si>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</si>
  <si>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</si>
  <si>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</si>
  <si>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</si>
  <si>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</si>
  <si>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</si>
  <si>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</si>
  <si>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</si>
  <si>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</si>
  <si>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</si>
  <si>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</si>
  <si>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</si>
  <si>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</si>
  <si>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</si>
  <si>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</si>
  <si>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</si>
  <si>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</si>
  <si>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</si>
  <si>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</si>
  <si>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</si>
  <si>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</si>
  <si>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</si>
  <si>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</si>
  <si>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</si>
  <si>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</si>
  <si>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</si>
  <si>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</si>
  <si>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</si>
  <si>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</si>
  <si>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</si>
  <si>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</si>
  <si>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</si>
  <si>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</si>
  <si>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</si>
  <si>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</si>
  <si>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</si>
  <si>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</si>
  <si>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</si>
  <si>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</si>
  <si>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</si>
  <si>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</si>
  <si>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</si>
  <si>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</si>
  <si>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</si>
  <si>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</si>
  <si>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</si>
  <si>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</si>
  <si>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</si>
  <si>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</si>
  <si>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</si>
  <si>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</si>
  <si>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</si>
  <si>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</si>
  <si>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</si>
  <si>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</si>
  <si>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</si>
  <si>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</si>
  <si>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</si>
  <si>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</si>
  <si>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</si>
  <si>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</si>
  <si>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</si>
  <si>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</si>
  <si>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</si>
  <si>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</si>
  <si>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</si>
  <si>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</si>
  <si>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</si>
  <si>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</si>
  <si>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</si>
  <si>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</si>
  <si>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</si>
  <si>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</si>
  <si>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</si>
  <si>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</si>
  <si>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</si>
  <si>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</si>
  <si>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</si>
  <si>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</si>
  <si>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</si>
  <si>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</si>
  <si>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</si>
  <si>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</si>
  <si>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</si>
  <si>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</si>
  <si>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</si>
  <si>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</si>
  <si>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</si>
  <si>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</si>
  <si>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</si>
  <si>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</si>
  <si>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</si>
  <si>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</si>
  <si>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</si>
  <si>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</si>
  <si>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</si>
  <si>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</si>
  <si>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</si>
  <si>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</si>
  <si>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</si>
  <si>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</si>
  <si>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</si>
  <si>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</si>
  <si>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</si>
  <si>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</si>
  <si>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</si>
  <si>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</si>
  <si>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</si>
  <si>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</si>
  <si>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</si>
  <si>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</si>
  <si>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</si>
  <si>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</si>
  <si>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</si>
  <si>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</si>
  <si>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</si>
  <si>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</si>
  <si>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</si>
  <si>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</si>
  <si>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</si>
  <si>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</si>
  <si>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</si>
  <si>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</si>
  <si>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</si>
  <si>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</si>
  <si>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</si>
  <si>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</si>
  <si>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</si>
  <si>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</si>
  <si>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</si>
  <si>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</si>
  <si>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</si>
  <si>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</si>
  <si>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</si>
  <si>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</si>
  <si>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</si>
  <si>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</si>
  <si>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</si>
  <si>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</si>
  <si>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</si>
  <si>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</si>
  <si>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</si>
  <si>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</si>
  <si>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</si>
  <si>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</si>
  <si>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</si>
  <si>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</si>
  <si>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</si>
  <si>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</si>
  <si>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</si>
  <si>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</si>
  <si>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</si>
  <si>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</si>
  <si>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</si>
  <si>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</si>
  <si>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</si>
  <si>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</si>
  <si>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</si>
  <si>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</si>
  <si>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</si>
  <si>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</si>
  <si>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</si>
  <si>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</si>
  <si>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</si>
  <si>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</si>
  <si>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</si>
  <si>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</si>
  <si>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</si>
  <si>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</si>
  <si>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</si>
  <si>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</si>
  <si>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</si>
  <si>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</si>
  <si>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</si>
  <si>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</si>
  <si>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</si>
  <si>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</si>
  <si>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</si>
  <si>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</si>
  <si>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</si>
  <si>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</si>
  <si>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</si>
  <si>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</si>
  <si>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</si>
  <si>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</si>
  <si>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</si>
  <si>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</si>
  <si>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</si>
  <si>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</si>
  <si>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</si>
  <si>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</si>
  <si>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</si>
  <si>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</si>
  <si>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</si>
  <si>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</si>
  <si>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</si>
  <si>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</si>
  <si>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</si>
  <si>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</si>
  <si>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</si>
  <si>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</si>
  <si>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</si>
  <si>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</si>
  <si>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</si>
  <si>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</si>
  <si>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</si>
  <si>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</si>
  <si>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</si>
  <si>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</si>
  <si>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</si>
  <si>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</si>
  <si>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</si>
  <si>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</si>
  <si>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</si>
  <si>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</si>
  <si>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</si>
  <si>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</si>
  <si>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</si>
  <si>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</si>
  <si>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</si>
  <si>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</si>
  <si>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</si>
  <si>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</si>
  <si>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</si>
  <si>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</si>
  <si>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</si>
  <si>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</si>
  <si>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</si>
  <si>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</si>
  <si>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</si>
  <si>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</si>
  <si>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</si>
  <si>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</si>
  <si>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</si>
  <si>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</si>
  <si>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</si>
  <si>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</si>
  <si>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</si>
  <si>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</si>
  <si>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</si>
  <si>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</si>
  <si>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</si>
  <si>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</si>
  <si>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</si>
  <si>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</si>
  <si>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</si>
  <si>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</si>
  <si>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</si>
  <si>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</si>
  <si>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</si>
  <si>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</si>
  <si>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</si>
  <si>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</si>
  <si>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</si>
  <si>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</si>
  <si>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</si>
  <si>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</si>
  <si>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</si>
  <si>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</si>
  <si>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</si>
  <si>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</si>
  <si>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</si>
  <si>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</si>
  <si>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</si>
  <si>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</si>
  <si>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</si>
  <si>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</si>
  <si>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</si>
  <si>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</si>
  <si>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</si>
  <si>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</si>
  <si>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</si>
  <si>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</si>
  <si>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</si>
  <si>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</si>
  <si>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</si>
  <si>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</si>
  <si>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</si>
  <si>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</si>
  <si>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</si>
  <si>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</si>
  <si>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</si>
  <si>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</si>
  <si>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</si>
  <si>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</si>
  <si>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</si>
  <si>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</si>
  <si>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</si>
  <si>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</si>
  <si>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</si>
  <si>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</si>
  <si>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</si>
  <si>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</si>
  <si>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</si>
  <si>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</si>
  <si>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</si>
  <si>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</si>
  <si>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</si>
  <si>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</si>
  <si>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</si>
  <si>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</si>
  <si>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</si>
  <si>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</si>
  <si>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</si>
  <si>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</si>
  <si>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</si>
  <si>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</si>
  <si>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</si>
  <si>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</si>
  <si>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</si>
  <si>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</si>
  <si>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</si>
  <si>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</si>
  <si>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</si>
  <si>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</si>
  <si>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</si>
  <si>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</si>
  <si>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</si>
  <si>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</si>
  <si>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</si>
  <si>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</si>
  <si>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</si>
  <si>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</si>
  <si>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</si>
  <si>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</si>
  <si>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</si>
  <si>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</si>
  <si>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</si>
  <si>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</si>
  <si>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</si>
  <si>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</si>
  <si>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</si>
  <si>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</si>
  <si>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</si>
  <si>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</si>
  <si>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</si>
  <si>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</si>
  <si>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</si>
  <si>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</si>
  <si>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</si>
  <si>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</si>
  <si>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</si>
  <si>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</si>
  <si>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</si>
  <si>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</si>
  <si>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</si>
  <si>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</si>
  <si>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</si>
  <si>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</si>
  <si>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</si>
  <si>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</si>
  <si>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</si>
  <si>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</si>
  <si>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</si>
  <si>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</si>
  <si>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</si>
  <si>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</si>
  <si>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</si>
  <si>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</si>
  <si>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</si>
  <si>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</si>
  <si>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</si>
  <si>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</si>
  <si>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</si>
  <si>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</si>
  <si>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</si>
  <si>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</si>
  <si>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</si>
  <si>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</si>
  <si>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</si>
  <si>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</si>
  <si>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</si>
  <si>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</si>
  <si>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</si>
  <si>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</si>
  <si>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</si>
  <si>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</si>
  <si>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</si>
  <si>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</si>
  <si>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</si>
  <si>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</si>
  <si>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</si>
  <si>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</si>
  <si>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</si>
  <si>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</si>
  <si>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</si>
  <si>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</si>
  <si>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</si>
  <si>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</si>
  <si>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</si>
  <si>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</si>
  <si>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</si>
  <si>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</si>
  <si>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</si>
  <si>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</si>
  <si>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</si>
  <si>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</si>
  <si>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</si>
  <si>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</si>
  <si>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</si>
  <si>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</si>
  <si>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</si>
  <si>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</si>
  <si>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</si>
  <si>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</si>
  <si>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</si>
  <si>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</si>
  <si>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</si>
  <si>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</si>
  <si>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</si>
  <si>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</si>
  <si>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</si>
  <si>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</si>
  <si>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</si>
  <si>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</si>
  <si>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</si>
  <si>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</si>
  <si>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</si>
  <si>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</si>
  <si>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</si>
  <si>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</si>
  <si>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</si>
  <si>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</si>
  <si>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</si>
  <si>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</si>
  <si>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</si>
  <si>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</si>
  <si>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</si>
  <si>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</si>
  <si>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</si>
  <si>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</si>
  <si>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</si>
  <si>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</si>
  <si>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</si>
  <si>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</si>
  <si>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</si>
  <si>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</si>
  <si>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</si>
  <si>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</si>
  <si>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</si>
  <si>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</si>
  <si>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</si>
  <si>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</si>
  <si>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</si>
  <si>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</si>
  <si>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</si>
  <si>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</si>
  <si>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</si>
  <si>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</si>
  <si>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</si>
  <si>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</si>
  <si>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</si>
  <si>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</si>
  <si>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</si>
  <si>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</si>
  <si>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</si>
  <si>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</si>
  <si>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</si>
  <si>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</si>
  <si>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</si>
  <si>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</si>
  <si>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</si>
  <si>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</si>
  <si>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</si>
  <si>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</si>
  <si>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</si>
  <si>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</si>
  <si>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</si>
  <si>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</si>
  <si>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</si>
  <si>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</si>
  <si>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</si>
  <si>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</si>
  <si>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</si>
  <si>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</si>
  <si>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</si>
  <si>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</si>
  <si>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</si>
  <si>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</si>
  <si>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</si>
  <si>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</si>
  <si>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</si>
  <si>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</si>
  <si>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</si>
  <si>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</si>
  <si>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</si>
  <si>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</si>
  <si>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</si>
  <si>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</si>
  <si>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</si>
  <si>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</si>
  <si>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</si>
  <si>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</si>
  <si>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</si>
  <si>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</si>
  <si>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</si>
  <si>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</si>
  <si>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</si>
  <si>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</si>
  <si>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</si>
  <si>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</si>
  <si>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</si>
  <si>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</si>
  <si>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</si>
  <si>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</si>
  <si>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</si>
  <si>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</si>
  <si>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</si>
  <si>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</si>
  <si>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</si>
  <si>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</si>
  <si>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</si>
  <si>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</si>
  <si>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</si>
  <si>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</si>
  <si>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</si>
  <si>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</si>
  <si>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</si>
  <si>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</si>
  <si>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</si>
  <si>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</si>
  <si>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</si>
  <si>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</si>
  <si>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</si>
  <si>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</si>
  <si>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</si>
  <si>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</si>
  <si>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</si>
  <si>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</si>
  <si>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</si>
  <si>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</si>
  <si>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</si>
  <si>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</si>
  <si>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</si>
  <si>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</si>
  <si>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</si>
  <si>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</si>
  <si>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</si>
  <si>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</si>
  <si>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</si>
  <si>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</si>
  <si>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</si>
  <si>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</si>
  <si>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</si>
  <si>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</si>
  <si>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</si>
  <si>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</si>
  <si>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</si>
  <si>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</si>
  <si>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</si>
  <si>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</si>
  <si>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</si>
  <si>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</si>
  <si>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</si>
  <si>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</si>
  <si>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</si>
  <si>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</si>
  <si>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</si>
  <si>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</si>
  <si>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</si>
  <si>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</si>
  <si>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</si>
  <si>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</si>
  <si>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</si>
  <si>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</si>
  <si>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</si>
  <si>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</si>
  <si>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</si>
  <si>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</si>
  <si>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</si>
  <si>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</si>
  <si>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</si>
  <si>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</si>
  <si>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</si>
  <si>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</si>
  <si>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</si>
  <si>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</si>
  <si>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</si>
  <si>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</si>
  <si>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</si>
  <si>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</si>
  <si>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</si>
  <si>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</si>
  <si>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</si>
  <si>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</si>
  <si>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</si>
  <si>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</si>
  <si>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</si>
  <si>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</si>
  <si>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</si>
  <si>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</si>
  <si>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</si>
  <si>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</si>
  <si>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</si>
  <si>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</si>
  <si>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</si>
  <si>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</si>
  <si>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</si>
  <si>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</si>
  <si>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</si>
  <si>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</si>
  <si>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</si>
  <si>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</si>
  <si>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</si>
  <si>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</si>
  <si>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</si>
  <si>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</si>
  <si>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</si>
  <si>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</si>
  <si>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</si>
  <si>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</si>
  <si>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</si>
  <si>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</si>
  <si>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</si>
  <si>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</si>
  <si>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</si>
  <si>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</si>
  <si>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</si>
  <si>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</si>
  <si>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</si>
  <si>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</si>
  <si>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</si>
  <si>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</si>
  <si>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</si>
  <si>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</si>
  <si>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</si>
  <si>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</si>
  <si>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</si>
  <si>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</si>
  <si>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</si>
  <si>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</si>
  <si>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</si>
  <si>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</si>
  <si>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</si>
  <si>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</si>
  <si>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</si>
  <si>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</si>
  <si>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</si>
  <si>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</si>
  <si>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</si>
  <si>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</si>
  <si>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</si>
  <si>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</si>
  <si>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</si>
  <si>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</si>
  <si>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</si>
  <si>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</si>
  <si>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</si>
  <si>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</si>
  <si>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</si>
  <si>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</si>
  <si>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</si>
  <si>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</si>
  <si>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</si>
  <si>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</si>
  <si>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</si>
  <si>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</si>
  <si>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</si>
  <si>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</si>
  <si>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</si>
  <si>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</si>
  <si>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</si>
  <si>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</si>
  <si>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</si>
  <si>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</si>
  <si>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</si>
  <si>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</si>
  <si>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</si>
  <si>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</si>
  <si>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</si>
  <si>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</si>
  <si>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</si>
  <si>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</si>
  <si>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</si>
  <si>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</si>
  <si>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</si>
  <si>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</si>
  <si>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</si>
  <si>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</si>
  <si>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</si>
  <si>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</si>
  <si>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</si>
  <si>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</si>
  <si>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</si>
  <si>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</si>
  <si>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</si>
  <si>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</si>
  <si>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</si>
  <si>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</si>
  <si>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</si>
  <si>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</si>
  <si>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</si>
  <si>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</si>
  <si>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</si>
  <si>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</si>
  <si>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</si>
  <si>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</si>
  <si>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</si>
  <si>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</si>
  <si>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</si>
  <si>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</si>
  <si>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</si>
  <si>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</si>
  <si>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</si>
  <si>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</si>
  <si>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</si>
  <si>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</si>
  <si>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</si>
  <si>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</si>
  <si>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</si>
  <si>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</si>
  <si>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</si>
  <si>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</si>
  <si>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</si>
  <si>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</si>
  <si>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</si>
  <si>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</si>
  <si>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</si>
  <si>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</si>
  <si>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</si>
  <si>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</si>
  <si>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</si>
  <si>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</si>
  <si>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</si>
  <si>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</si>
  <si>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</si>
  <si>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</si>
  <si>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</si>
  <si>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</si>
  <si>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</si>
  <si>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</si>
  <si>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</si>
  <si>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</si>
  <si>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</si>
  <si>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</si>
  <si>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</si>
  <si>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</si>
  <si>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</si>
  <si>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</si>
  <si>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</si>
  <si>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</si>
  <si>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</si>
  <si>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</si>
  <si>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</si>
  <si>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</si>
  <si>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</si>
  <si>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</si>
  <si>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</si>
  <si>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</si>
  <si>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</si>
  <si>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</si>
  <si>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</si>
  <si>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</si>
  <si>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</si>
  <si>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</si>
  <si>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</si>
  <si>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</si>
  <si>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</si>
  <si>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</si>
  <si>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</si>
  <si>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</si>
  <si>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</si>
  <si>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</si>
  <si>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</si>
  <si>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</si>
  <si>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</si>
  <si>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</si>
  <si>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</si>
  <si>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</si>
  <si>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</si>
  <si>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</si>
  <si>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</si>
  <si>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</si>
  <si>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</si>
  <si>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</si>
  <si>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</si>
  <si>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</si>
  <si>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</si>
  <si>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</si>
  <si>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</si>
  <si>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</si>
  <si>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</si>
  <si>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</si>
  <si>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</si>
  <si>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</si>
  <si>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</si>
  <si>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</si>
  <si>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</si>
  <si>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</si>
  <si>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</si>
  <si>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</si>
  <si>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</si>
  <si>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</si>
  <si>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</si>
  <si>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</si>
  <si>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</si>
  <si>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</si>
  <si>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</si>
  <si>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</si>
  <si>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</si>
  <si>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</si>
  <si>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</si>
  <si>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</si>
  <si>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</si>
  <si>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</si>
  <si>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</si>
  <si>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</si>
  <si>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</si>
  <si>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</si>
  <si>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</si>
  <si>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</si>
  <si>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</si>
  <si>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</si>
  <si>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</si>
  <si>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</si>
  <si>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</si>
  <si>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</si>
  <si>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</si>
  <si>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</si>
  <si>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</si>
  <si>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</si>
  <si>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</si>
  <si>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</si>
  <si>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</si>
  <si>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</si>
  <si>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</si>
  <si>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</si>
  <si>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</si>
  <si>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</si>
  <si>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</si>
  <si>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</si>
  <si>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</si>
  <si>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</si>
  <si>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</si>
  <si>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</si>
  <si>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</si>
  <si>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</si>
  <si>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</si>
  <si>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</si>
  <si>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</si>
  <si>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</si>
  <si>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</si>
  <si>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</si>
  <si>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</si>
  <si>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</si>
  <si>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</si>
  <si>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</si>
  <si>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</si>
  <si>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</si>
  <si>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</si>
  <si>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</si>
  <si>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</si>
  <si>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</si>
  <si>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</si>
  <si>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</si>
  <si>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</si>
  <si>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</si>
  <si>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</si>
  <si>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</si>
  <si>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</si>
  <si>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</si>
  <si>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</si>
  <si>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</si>
  <si>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</si>
  <si>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</si>
  <si>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</si>
  <si>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</si>
  <si>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</si>
  <si>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</si>
  <si>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</si>
  <si>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</si>
  <si>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</si>
  <si>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</si>
  <si>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</si>
  <si>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</si>
  <si>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</si>
  <si>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</si>
  <si>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</si>
  <si>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</si>
  <si>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</si>
  <si>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</si>
  <si>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</si>
  <si>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</si>
  <si>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</si>
  <si>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</si>
  <si>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</si>
  <si>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</si>
  <si>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</si>
  <si>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</si>
  <si>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</si>
  <si>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</si>
  <si>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</si>
  <si>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</si>
  <si>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</si>
  <si>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</si>
  <si>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</si>
  <si>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</si>
  <si>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</si>
  <si>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</si>
  <si>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</si>
  <si>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</si>
  <si>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</si>
  <si>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</si>
  <si>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</si>
  <si>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</si>
  <si>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</si>
  <si>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</si>
  <si>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</si>
  <si>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</si>
  <si>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</si>
  <si>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</si>
  <si>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</si>
  <si>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</si>
  <si>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</si>
  <si>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</si>
  <si>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</si>
  <si>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</si>
  <si>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</si>
  <si>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</si>
  <si>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</si>
  <si>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</si>
  <si>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</si>
  <si>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</si>
  <si>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</si>
  <si>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</si>
  <si>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</si>
  <si>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</si>
  <si>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</si>
  <si>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</si>
  <si>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</si>
  <si>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</si>
  <si>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</si>
  <si>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</si>
  <si>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</si>
  <si>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</si>
  <si>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</si>
  <si>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</si>
  <si>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</si>
  <si>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</si>
  <si>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</si>
  <si>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</si>
  <si>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</si>
  <si>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</si>
  <si>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</si>
  <si>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</si>
  <si>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</si>
  <si>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</si>
  <si>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</si>
  <si>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</si>
  <si>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</si>
  <si>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</si>
  <si>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</si>
  <si>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</si>
  <si>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</si>
  <si>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</si>
  <si>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</si>
  <si>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</si>
  <si>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</si>
  <si>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</si>
  <si>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</si>
  <si>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</si>
  <si>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</si>
  <si>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</si>
  <si>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</si>
  <si>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</si>
  <si>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</si>
  <si>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</si>
  <si>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</si>
  <si>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</si>
  <si>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</si>
  <si>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</si>
  <si>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</si>
  <si>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</si>
  <si>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</si>
  <si>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</si>
  <si>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</si>
  <si>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</si>
  <si>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</si>
  <si>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</si>
  <si>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</si>
  <si>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</si>
  <si>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</si>
  <si>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</si>
  <si>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</si>
  <si>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</si>
  <si>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</si>
  <si>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</si>
  <si>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</si>
  <si>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</si>
  <si>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</si>
  <si>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</si>
  <si>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</si>
  <si>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</si>
  <si>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</si>
  <si>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</si>
  <si>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</si>
  <si>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</si>
  <si>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</si>
  <si>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</si>
  <si>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</si>
  <si>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</si>
  <si>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</si>
  <si>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</si>
  <si>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</si>
  <si>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</si>
  <si>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</si>
  <si>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</si>
  <si>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</si>
  <si>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</si>
  <si>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</si>
  <si>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</si>
  <si>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</si>
  <si>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</si>
  <si>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</si>
  <si>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</si>
  <si>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</si>
  <si>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</si>
  <si>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</si>
  <si>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</si>
  <si>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</si>
  <si>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</si>
  <si>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</si>
  <si>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</si>
  <si>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</si>
  <si>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</si>
  <si>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</si>
  <si>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</si>
  <si>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</si>
  <si>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</si>
  <si>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</si>
  <si>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</si>
  <si>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</si>
  <si>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</si>
  <si>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</si>
  <si>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</si>
  <si>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</si>
  <si>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</si>
  <si>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</si>
  <si>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</si>
  <si>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</si>
  <si>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</si>
  <si>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</si>
  <si>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</si>
  <si>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</si>
  <si>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</si>
  <si>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</si>
  <si>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</si>
  <si>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</si>
  <si>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</si>
  <si>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</si>
  <si>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</si>
  <si>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</si>
  <si>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</si>
  <si>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</si>
  <si>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</si>
  <si>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</si>
  <si>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</si>
  <si>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</si>
  <si>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</si>
  <si>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</si>
  <si>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</si>
  <si>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</si>
  <si>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</si>
  <si>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</si>
  <si>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</si>
  <si>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</si>
  <si>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</si>
  <si>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</si>
  <si>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</si>
  <si>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</si>
  <si>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</si>
  <si>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</si>
  <si>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</si>
  <si>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</si>
  <si>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</si>
  <si>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</si>
  <si>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</si>
  <si>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</si>
  <si>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</si>
  <si>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</si>
  <si>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</si>
  <si>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</si>
  <si>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</si>
  <si>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</si>
  <si>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</si>
  <si>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</si>
  <si>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</si>
  <si>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</si>
  <si>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</si>
  <si>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</si>
  <si>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</si>
  <si>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</si>
  <si>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</si>
  <si>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</si>
  <si>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</si>
  <si>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</si>
  <si>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</si>
  <si>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</si>
  <si>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</si>
  <si>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</si>
  <si>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</si>
  <si>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</si>
  <si>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</si>
  <si>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</si>
  <si>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</si>
  <si>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</si>
  <si>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</si>
  <si>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</si>
  <si>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</si>
  <si>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</si>
  <si>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</si>
  <si>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</si>
  <si>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</si>
  <si>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</si>
  <si>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</si>
  <si>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</si>
  <si>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</si>
  <si>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</si>
  <si>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</si>
  <si>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</si>
  <si>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</si>
  <si>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</si>
  <si>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</si>
  <si>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</si>
  <si>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</si>
  <si>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</si>
  <si>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</si>
  <si>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</si>
  <si>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</si>
  <si>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</si>
  <si>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</si>
  <si>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</si>
  <si>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</si>
  <si>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</si>
  <si>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</si>
  <si>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</si>
  <si>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</si>
  <si>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</si>
  <si>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</si>
  <si>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</si>
  <si>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</si>
  <si>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</si>
  <si>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</si>
  <si>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</si>
  <si>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</si>
  <si>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</si>
  <si>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</si>
  <si>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</si>
  <si>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</si>
  <si>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</si>
  <si>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</si>
  <si>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</si>
  <si>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</si>
  <si>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</si>
  <si>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</si>
  <si>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</si>
  <si>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</si>
  <si>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</si>
  <si>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</si>
  <si>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</si>
  <si>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</si>
  <si>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</si>
  <si>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</si>
  <si>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</si>
  <si>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</si>
  <si>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</si>
  <si>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</si>
  <si>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</si>
  <si>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</si>
  <si>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</si>
  <si>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</si>
  <si>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</si>
  <si>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</si>
  <si>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</si>
  <si>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</si>
  <si>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</si>
  <si>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</si>
  <si>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</si>
  <si>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</si>
  <si>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</si>
  <si>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</si>
  <si>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</si>
  <si>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</si>
  <si>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</si>
  <si>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</si>
  <si>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</si>
  <si>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</si>
  <si>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</si>
  <si>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</si>
  <si>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</si>
  <si>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</si>
  <si>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</si>
  <si>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</si>
  <si>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</si>
  <si>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</si>
  <si>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</si>
  <si>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</si>
  <si>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</si>
  <si>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</si>
  <si>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</si>
  <si>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</si>
  <si>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</si>
  <si>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</si>
  <si>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</si>
  <si>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</si>
  <si>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</si>
  <si>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</si>
  <si>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</si>
  <si>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</si>
  <si>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</si>
  <si>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</si>
  <si>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</si>
  <si>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</si>
  <si>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</si>
  <si>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</si>
  <si>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</si>
  <si>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</si>
  <si>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</si>
  <si>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</si>
  <si>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</si>
  <si>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</si>
  <si>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</si>
  <si>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</si>
  <si>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</si>
  <si>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</si>
  <si>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</si>
  <si>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</si>
  <si>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</si>
  <si>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</si>
  <si>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</si>
  <si>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</si>
  <si>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</si>
  <si>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</si>
  <si>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</si>
  <si>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</si>
  <si>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</si>
  <si>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</si>
  <si>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</si>
  <si>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</si>
  <si>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</si>
  <si>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</si>
  <si>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</si>
  <si>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</si>
  <si>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</si>
  <si>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</si>
  <si>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</si>
  <si>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</si>
  <si>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</si>
  <si>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</si>
  <si>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</si>
  <si>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</si>
  <si>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</si>
  <si>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</si>
  <si>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</si>
  <si>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</si>
  <si>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</si>
  <si>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</si>
  <si>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</si>
  <si>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</si>
  <si>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</si>
  <si>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</si>
  <si>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</si>
  <si>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</si>
  <si>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</si>
  <si>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</si>
  <si>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</si>
  <si>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</si>
  <si>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</si>
  <si>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</si>
  <si>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</si>
  <si>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</si>
  <si>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</si>
  <si>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</si>
  <si>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</si>
  <si>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</si>
  <si>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</si>
  <si>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</si>
  <si>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</si>
  <si>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</si>
  <si>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</si>
  <si>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</si>
  <si>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</si>
  <si>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</si>
  <si>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</si>
  <si>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</si>
  <si>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</si>
  <si>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</si>
  <si>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</si>
  <si>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</si>
  <si>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</si>
  <si>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</si>
  <si>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</si>
  <si>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</si>
  <si>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</si>
  <si>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</si>
  <si>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</si>
  <si>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</si>
  <si>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</si>
  <si>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</si>
  <si>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</si>
  <si>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</si>
  <si>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</si>
  <si>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</si>
  <si>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</si>
  <si>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</si>
  <si>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</si>
  <si>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</si>
  <si>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</si>
  <si>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</si>
  <si>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</si>
  <si>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</si>
  <si>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</si>
  <si>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</si>
  <si>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</si>
  <si>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</si>
  <si>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</si>
  <si>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</si>
  <si>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</si>
  <si>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</si>
  <si>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</si>
  <si>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</si>
  <si>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</si>
  <si>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</si>
  <si>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</si>
  <si>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</si>
  <si>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</si>
  <si>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</si>
  <si>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</si>
  <si>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</si>
  <si>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</si>
  <si>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</si>
  <si>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</si>
  <si>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</si>
  <si>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</si>
  <si>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</si>
  <si>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</si>
  <si>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</si>
  <si>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</si>
  <si>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</si>
  <si>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</si>
  <si>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</si>
  <si>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</si>
  <si>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</si>
  <si>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</si>
  <si>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</si>
  <si>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</si>
  <si>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</si>
  <si>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</si>
  <si>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</si>
  <si>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</si>
  <si>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</si>
  <si>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</si>
  <si>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</si>
  <si>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</si>
  <si>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</si>
  <si>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</si>
  <si>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</si>
  <si>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</si>
  <si>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</si>
  <si>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</si>
  <si>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</si>
  <si>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</si>
  <si>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</si>
  <si>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</si>
  <si>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</si>
  <si>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</si>
  <si>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</si>
  <si>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</si>
  <si>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</si>
  <si>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</si>
  <si>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</si>
  <si>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</si>
  <si>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</si>
  <si>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</si>
  <si>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</si>
  <si>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</si>
  <si>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</si>
  <si>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</si>
  <si>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</si>
  <si>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</si>
  <si>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</si>
  <si>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</si>
  <si>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</si>
  <si>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</si>
  <si>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</si>
  <si>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</si>
  <si>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</si>
  <si>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</si>
  <si>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</si>
  <si>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</si>
  <si>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</si>
  <si>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</si>
  <si>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</si>
  <si>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</si>
  <si>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</si>
  <si>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</si>
  <si>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</si>
  <si>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</si>
  <si>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</si>
  <si>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</si>
  <si>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</si>
  <si>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</si>
  <si>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</si>
  <si>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</si>
  <si>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</si>
  <si>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</si>
  <si>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</si>
  <si>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</si>
  <si>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</si>
  <si>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</si>
  <si>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</si>
  <si>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</si>
  <si>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</si>
  <si>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</si>
  <si>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</si>
  <si>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</si>
  <si>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</si>
  <si>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</si>
  <si>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</si>
  <si>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</si>
  <si>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</si>
  <si>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</si>
  <si>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</si>
  <si>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</si>
  <si>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</si>
  <si>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</si>
  <si>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</si>
  <si>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</si>
  <si>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</si>
  <si>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</si>
  <si>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</si>
  <si>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</si>
  <si>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</si>
  <si>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</si>
  <si>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</si>
  <si>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</si>
  <si>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</si>
  <si>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</si>
  <si>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</si>
  <si>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</si>
  <si>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</si>
  <si>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</si>
  <si>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</si>
  <si>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</si>
  <si>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</si>
  <si>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</si>
  <si>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</si>
  <si>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</si>
  <si>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</si>
  <si>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</si>
  <si>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</si>
  <si>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</si>
  <si>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</si>
  <si>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</si>
  <si>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</si>
  <si>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</si>
  <si>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</si>
  <si>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</si>
  <si>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</si>
  <si>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</si>
  <si>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</si>
  <si>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</si>
  <si>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</si>
  <si>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</si>
  <si>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</si>
  <si>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</si>
  <si>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</si>
  <si>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</si>
  <si>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</si>
  <si>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</si>
  <si>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</si>
  <si>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</si>
  <si>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</si>
  <si>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</si>
  <si>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</si>
  <si>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</si>
  <si>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</si>
  <si>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</si>
  <si>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</si>
  <si>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</si>
  <si>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</si>
  <si>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</si>
  <si>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</si>
  <si>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</si>
  <si>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</si>
  <si>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</si>
  <si>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</si>
  <si>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</si>
  <si>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</si>
  <si>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</si>
  <si>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</si>
  <si>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</si>
  <si>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</si>
  <si>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</si>
  <si>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</si>
  <si>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</si>
  <si>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</si>
  <si>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</si>
  <si>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</si>
  <si>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</si>
  <si>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</si>
  <si>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</si>
  <si>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</si>
  <si>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</si>
  <si>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</si>
  <si>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</si>
  <si>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</si>
  <si>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</si>
  <si>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</si>
  <si>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</si>
  <si>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</si>
  <si>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</si>
  <si>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</si>
  <si>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</si>
  <si>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</si>
  <si>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</si>
  <si>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</si>
  <si>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</si>
  <si>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</si>
  <si>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</si>
  <si>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</si>
  <si>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</si>
  <si>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</si>
  <si>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</si>
  <si>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</si>
  <si>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</si>
  <si>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</si>
  <si>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</si>
  <si>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</si>
  <si>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</si>
  <si>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</si>
  <si>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</si>
  <si>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</si>
  <si>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</si>
  <si>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</si>
  <si>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</si>
  <si>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</si>
  <si>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</si>
  <si>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</si>
  <si>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</si>
  <si>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</si>
  <si>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</si>
  <si>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</si>
  <si>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</si>
  <si>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</si>
  <si>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</si>
  <si>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</si>
  <si>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</si>
  <si>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</si>
  <si>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</si>
  <si>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</si>
  <si>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</si>
  <si>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</si>
  <si>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</si>
  <si>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</si>
  <si>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</si>
  <si>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</si>
  <si>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</si>
  <si>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</si>
  <si>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</si>
  <si>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</si>
  <si>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</si>
  <si>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</si>
  <si>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</si>
  <si>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</si>
  <si>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</si>
  <si>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</si>
  <si>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</si>
  <si>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</si>
  <si>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</si>
  <si>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</si>
  <si>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</si>
  <si>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</si>
  <si>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</si>
  <si>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</si>
  <si>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</si>
  <si>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</si>
  <si>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</si>
  <si>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</si>
  <si>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</si>
  <si>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</si>
  <si>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</si>
  <si>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</si>
  <si>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</si>
  <si>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</si>
  <si>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</si>
  <si>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</si>
  <si>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</si>
  <si>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</si>
  <si>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</si>
  <si>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</si>
  <si>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</si>
  <si>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</si>
  <si>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</si>
  <si>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</si>
  <si>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</si>
  <si>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</si>
  <si>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</si>
  <si>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</si>
  <si>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</si>
  <si>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</si>
  <si>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</si>
  <si>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</si>
  <si>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</si>
  <si>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</si>
  <si>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</si>
  <si>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</si>
  <si>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</si>
  <si>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</si>
  <si>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</si>
  <si>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</si>
  <si>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</si>
  <si>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</si>
  <si>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</si>
  <si>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</si>
  <si>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</si>
  <si>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</si>
  <si>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</si>
  <si>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</si>
  <si>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</si>
  <si>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</si>
  <si>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</si>
  <si>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</si>
  <si>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</si>
  <si>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</si>
  <si>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</si>
  <si>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</si>
  <si>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</si>
  <si>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</si>
  <si>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</si>
  <si>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</si>
  <si>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</si>
  <si>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</si>
  <si>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</si>
  <si>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</si>
  <si>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</si>
  <si>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</si>
  <si>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</si>
  <si>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</si>
  <si>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</si>
  <si>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</si>
  <si>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</si>
  <si>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</si>
  <si>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</si>
  <si>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</si>
  <si>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</si>
  <si>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</si>
  <si>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</si>
  <si>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</si>
  <si>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</si>
  <si>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</si>
  <si>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</si>
  <si>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</si>
  <si>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</si>
  <si>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</si>
  <si>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</si>
  <si>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</si>
  <si>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</si>
  <si>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</si>
  <si>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</si>
  <si>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</si>
  <si>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</si>
  <si>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</si>
  <si>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</si>
  <si>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</si>
  <si>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</si>
  <si>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</si>
  <si>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</si>
  <si>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</si>
  <si>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</si>
  <si>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</si>
  <si>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</si>
  <si>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</si>
  <si>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</si>
  <si>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</si>
  <si>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</si>
  <si>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</si>
  <si>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</si>
  <si>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</si>
  <si>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</si>
  <si>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</si>
  <si>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</si>
  <si>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</si>
  <si>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</si>
  <si>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</si>
  <si>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</si>
  <si>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</si>
  <si>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</si>
  <si>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</si>
  <si>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</si>
  <si>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</si>
  <si>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</si>
  <si>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</si>
  <si>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</si>
  <si>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</si>
  <si>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</si>
  <si>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</si>
  <si>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</si>
  <si>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</si>
  <si>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</si>
  <si>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</si>
  <si>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</si>
  <si>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</si>
  <si>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</si>
  <si>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</si>
  <si>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</si>
  <si>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</si>
  <si>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</si>
  <si>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</si>
  <si>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</si>
  <si>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</si>
  <si>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</si>
  <si>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</si>
  <si>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</si>
  <si>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</si>
  <si>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</si>
  <si>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</si>
  <si>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</si>
  <si>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</si>
  <si>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</si>
  <si>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</si>
  <si>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</si>
  <si>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</si>
  <si>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</si>
  <si>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</si>
  <si>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</si>
  <si>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</si>
  <si>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</si>
  <si>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</si>
  <si>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</si>
  <si>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</si>
  <si>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</si>
  <si>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</si>
  <si>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</si>
  <si>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</si>
  <si>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</si>
  <si>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</si>
  <si>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</si>
  <si>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</si>
  <si>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</si>
  <si>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</si>
  <si>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</si>
  <si>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</si>
  <si>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</si>
  <si>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</si>
  <si>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</si>
  <si>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</si>
  <si>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</si>
  <si>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</si>
  <si>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</si>
  <si>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</si>
  <si>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</si>
  <si>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</si>
  <si>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</si>
  <si>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</si>
  <si>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</si>
  <si>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</si>
  <si>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</si>
  <si>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</si>
  <si>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</si>
  <si>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</si>
  <si>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</si>
  <si>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</si>
  <si>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</si>
  <si>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</si>
  <si>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</si>
  <si>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</si>
  <si>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</si>
  <si>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</si>
  <si>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</si>
  <si>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</si>
  <si>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</si>
  <si>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</si>
  <si>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</si>
  <si>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</si>
  <si>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</si>
  <si>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</si>
  <si>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</si>
  <si>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</si>
  <si>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</si>
  <si>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</si>
  <si>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</si>
  <si>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</si>
  <si>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</si>
  <si>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</si>
  <si>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</si>
  <si>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</si>
  <si>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</si>
  <si>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</si>
  <si>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</si>
  <si>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</si>
  <si>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</si>
  <si>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</si>
  <si>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</si>
  <si>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</si>
  <si>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</si>
  <si>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</si>
  <si>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</si>
  <si>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</si>
  <si>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</si>
  <si>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</si>
  <si>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</si>
  <si>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</si>
  <si>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</si>
  <si>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</si>
  <si>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</si>
  <si>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</si>
  <si>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</si>
  <si>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</si>
  <si>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</si>
  <si>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</si>
  <si>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</si>
  <si>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</si>
  <si>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</si>
  <si>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</si>
  <si>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</si>
  <si>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</si>
  <si>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</si>
  <si>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</si>
  <si>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</si>
  <si>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</si>
  <si>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</si>
  <si>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</si>
  <si>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</si>
  <si>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</si>
  <si>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</si>
  <si>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</si>
  <si>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</si>
  <si>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</si>
  <si>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</si>
  <si>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</si>
  <si>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</si>
  <si>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</si>
  <si>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</si>
  <si>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</si>
  <si>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</si>
  <si>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</si>
  <si>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</si>
  <si>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</si>
  <si>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</si>
  <si>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</si>
  <si>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</si>
  <si>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</si>
  <si>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</si>
  <si>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</si>
  <si>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</si>
  <si>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</si>
  <si>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</si>
  <si>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</si>
  <si>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</si>
  <si>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</si>
  <si>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</si>
  <si>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</si>
  <si>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</si>
  <si>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</si>
  <si>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</si>
  <si>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</si>
  <si>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</si>
  <si>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</si>
  <si>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</si>
  <si>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</si>
  <si>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</si>
  <si>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</si>
  <si>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</si>
  <si>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</si>
  <si>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</si>
  <si>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</si>
  <si>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</si>
  <si>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</si>
  <si>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</si>
  <si>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</si>
  <si>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</si>
  <si>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</si>
  <si>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</si>
  <si>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</si>
  <si>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</si>
  <si>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</si>
  <si>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</si>
  <si>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</si>
  <si>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</si>
  <si>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</si>
  <si>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</si>
  <si>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</si>
  <si>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</si>
  <si>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</si>
  <si>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</si>
  <si>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</si>
  <si>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</si>
  <si>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</si>
  <si>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</si>
  <si>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</si>
  <si>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</si>
  <si>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</si>
  <si>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</si>
  <si>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</si>
  <si>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</si>
  <si>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</si>
  <si>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</si>
  <si>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</si>
  <si>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</si>
  <si>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</si>
  <si>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</si>
  <si>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</si>
  <si>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</si>
  <si>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</si>
  <si>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</si>
  <si>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</si>
  <si>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</si>
  <si>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</si>
  <si>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</si>
  <si>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</si>
  <si>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</si>
  <si>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</si>
  <si>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</si>
  <si>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</si>
  <si>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</si>
  <si>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</si>
  <si>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</si>
  <si>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</si>
  <si>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</si>
  <si>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</si>
  <si>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</si>
  <si>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</si>
  <si>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</si>
  <si>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</si>
  <si>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</si>
  <si>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</si>
  <si>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</si>
  <si>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</si>
  <si>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</si>
  <si>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</si>
  <si>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</si>
  <si>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</si>
  <si>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</si>
  <si>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</si>
  <si>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</si>
  <si>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</si>
  <si>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</si>
  <si>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</si>
  <si>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</si>
  <si>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</si>
  <si>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</si>
  <si>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</si>
  <si>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</si>
  <si>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</si>
  <si>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</si>
  <si>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</si>
  <si>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</si>
  <si>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</si>
  <si>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</si>
  <si>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</si>
  <si>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</si>
  <si>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</si>
  <si>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</si>
  <si>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</si>
  <si>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</si>
  <si>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</si>
  <si>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</si>
  <si>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</si>
  <si>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</si>
  <si>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</si>
  <si>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</si>
  <si>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</si>
  <si>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</si>
  <si>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</si>
  <si>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</si>
  <si>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</si>
  <si>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</si>
  <si>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</si>
  <si>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</si>
  <si>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</si>
  <si>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</si>
  <si>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</si>
  <si>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</si>
  <si>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</si>
  <si>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</si>
  <si>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</si>
  <si>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</si>
  <si>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</si>
  <si>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</si>
  <si>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</si>
  <si>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</si>
  <si>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</si>
  <si>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</si>
  <si>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</si>
  <si>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</si>
  <si>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</si>
  <si>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</si>
  <si>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</si>
  <si>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</si>
  <si>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</si>
  <si>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</si>
  <si>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</si>
  <si>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</si>
  <si>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</si>
  <si>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</si>
  <si>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</si>
  <si>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</si>
  <si>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</si>
  <si>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</si>
  <si>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</si>
  <si>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</si>
  <si>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</si>
  <si>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</si>
  <si>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</si>
  <si>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</si>
  <si>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</si>
  <si>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</si>
  <si>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</si>
  <si>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</si>
  <si>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</si>
  <si>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</si>
  <si>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</si>
  <si>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</si>
  <si>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</si>
  <si>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</si>
  <si>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</si>
  <si>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</si>
  <si>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</si>
  <si>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</si>
  <si>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</si>
  <si>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</si>
  <si>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</si>
  <si>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</si>
  <si>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</si>
  <si>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</si>
  <si>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</si>
  <si>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</si>
  <si>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</si>
  <si>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</si>
  <si>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</si>
  <si>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</si>
  <si>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</si>
  <si>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</si>
  <si>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</si>
  <si>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</si>
  <si>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</si>
  <si>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</si>
  <si>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</si>
  <si>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</si>
  <si>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</si>
  <si>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</si>
  <si>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</si>
  <si>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</si>
  <si>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</si>
  <si>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</si>
  <si>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</si>
  <si>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</si>
  <si>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</si>
  <si>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</si>
  <si>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</si>
  <si>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</si>
  <si>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</si>
  <si>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</si>
  <si>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</si>
  <si>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</si>
  <si>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</si>
  <si>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</si>
  <si>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</si>
  <si>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</si>
  <si>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</si>
  <si>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</si>
  <si>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</si>
  <si>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</si>
  <si>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</si>
  <si>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</si>
  <si>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</si>
  <si>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</si>
  <si>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</si>
  <si>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</si>
  <si>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</si>
  <si>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</si>
  <si>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</si>
  <si>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</si>
  <si>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</si>
  <si>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</si>
  <si>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</si>
  <si>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</si>
  <si>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</si>
  <si>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</si>
  <si>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</si>
  <si>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</si>
  <si>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</si>
  <si>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</si>
  <si>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</si>
  <si>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</si>
  <si>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</si>
  <si>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</si>
  <si>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</si>
  <si>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</si>
  <si>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</si>
  <si>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</si>
  <si>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</si>
  <si>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</si>
  <si>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</si>
  <si>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</si>
  <si>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</si>
  <si>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</si>
  <si>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</si>
  <si>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</si>
  <si>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</si>
  <si>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</si>
  <si>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</si>
  <si>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</si>
  <si>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</si>
  <si>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</si>
  <si>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</si>
  <si>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</si>
  <si>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</si>
  <si>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</si>
  <si>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</si>
  <si>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</si>
  <si>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</si>
  <si>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</si>
  <si>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</si>
  <si>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</si>
  <si>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</si>
  <si>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</si>
  <si>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</si>
  <si>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</si>
  <si>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</si>
  <si>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</si>
  <si>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</si>
  <si>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</si>
  <si>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</si>
  <si>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</si>
  <si>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</si>
  <si>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</si>
  <si>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</si>
  <si>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</si>
  <si>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</si>
  <si>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</si>
  <si>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</si>
  <si>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</si>
  <si>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</si>
  <si>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</si>
  <si>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</si>
  <si>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</si>
  <si>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</si>
  <si>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</si>
  <si>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</si>
  <si>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</si>
  <si>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</si>
  <si>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</si>
  <si>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</si>
  <si>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</si>
  <si>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</si>
  <si>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</si>
  <si>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</si>
  <si>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</si>
  <si>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</si>
  <si>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</si>
  <si>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</si>
  <si>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</si>
  <si>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</si>
  <si>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</si>
  <si>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</si>
  <si>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</si>
  <si>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</si>
  <si>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</si>
  <si>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</si>
  <si>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</si>
  <si>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</si>
  <si>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</si>
  <si>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</si>
  <si>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</si>
  <si>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</si>
  <si>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</si>
  <si>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</si>
  <si>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</si>
  <si>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</si>
  <si>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</si>
  <si>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</si>
  <si>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</si>
  <si>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</si>
  <si>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</si>
  <si>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</si>
  <si>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</si>
  <si>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</si>
  <si>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</si>
  <si>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</si>
  <si>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</si>
  <si>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</si>
  <si>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</si>
  <si>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</si>
  <si>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</si>
  <si>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</si>
  <si>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</si>
  <si>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</si>
  <si>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</si>
  <si>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</si>
  <si>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</si>
  <si>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</si>
  <si>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</si>
  <si>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</si>
  <si>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</si>
  <si>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</si>
  <si>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</si>
  <si>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</si>
  <si>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</si>
  <si>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</si>
  <si>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</si>
  <si>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</si>
  <si>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</si>
  <si>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</si>
  <si>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</si>
  <si>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</si>
  <si>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</si>
  <si>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</si>
  <si>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</si>
  <si>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</si>
  <si>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</si>
  <si>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</si>
  <si>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</si>
  <si>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</si>
  <si>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</si>
  <si>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</si>
  <si>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</si>
  <si>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</si>
  <si>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</si>
  <si>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</si>
  <si>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</si>
  <si>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</si>
  <si>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</si>
  <si>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</si>
  <si>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</si>
  <si>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</si>
  <si>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</si>
  <si>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</si>
  <si>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</si>
  <si>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</si>
  <si>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</si>
  <si>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</si>
  <si>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</si>
  <si>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</si>
  <si>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</si>
  <si>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</si>
  <si>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</si>
  <si>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</si>
  <si>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</si>
  <si>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</si>
  <si>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</si>
  <si>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</si>
  <si>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</si>
  <si>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</si>
  <si>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</si>
  <si>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</si>
  <si>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</si>
  <si>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</si>
  <si>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</si>
  <si>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</si>
  <si>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</si>
  <si>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</si>
  <si>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</si>
  <si>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</si>
  <si>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</si>
  <si>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</si>
  <si>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</si>
  <si>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</si>
  <si>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</si>
  <si>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</si>
  <si>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</si>
  <si>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</si>
  <si>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</si>
  <si>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</si>
  <si>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</si>
  <si>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</si>
  <si>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</si>
  <si>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</si>
  <si>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</si>
  <si>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</si>
  <si>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</si>
  <si>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</si>
  <si>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</si>
  <si>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</si>
  <si>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</si>
  <si>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</si>
  <si>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</si>
  <si>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</si>
  <si>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</si>
  <si>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</si>
  <si>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</si>
  <si>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</si>
  <si>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</si>
  <si>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</si>
  <si>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</si>
  <si>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</si>
  <si>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</si>
  <si>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</si>
  <si>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</si>
  <si>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</si>
  <si>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</si>
  <si>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</si>
  <si>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</si>
  <si>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</si>
  <si>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</si>
  <si>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</si>
  <si>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</si>
  <si>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</si>
  <si>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</si>
  <si>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</si>
  <si>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</si>
  <si>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</si>
  <si>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</si>
  <si>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</si>
  <si>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</si>
  <si>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</si>
  <si>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</si>
  <si>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</si>
  <si>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</si>
  <si>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</si>
  <si>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</si>
  <si>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</si>
  <si>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</si>
  <si>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</si>
  <si>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</si>
  <si>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</si>
  <si>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</si>
  <si>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</si>
  <si>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</si>
  <si>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</si>
  <si>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</si>
  <si>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</si>
  <si>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</si>
  <si>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</si>
  <si>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</si>
  <si>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</si>
  <si>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</si>
  <si>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</si>
  <si>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</si>
  <si>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</si>
  <si>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</si>
  <si>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</si>
  <si>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</si>
  <si>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</si>
  <si>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</si>
  <si>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</si>
  <si>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</si>
  <si>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</si>
  <si>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</si>
  <si>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</si>
  <si>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</si>
  <si>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</si>
  <si>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</si>
  <si>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</si>
  <si>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</si>
  <si>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</si>
  <si>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</si>
  <si>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</si>
  <si>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</si>
  <si>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</si>
  <si>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</si>
  <si>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</si>
  <si>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</si>
  <si>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</si>
  <si>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</si>
  <si>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</si>
  <si>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</si>
  <si>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</si>
  <si>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</si>
  <si>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</si>
  <si>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</si>
  <si>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</si>
  <si>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</si>
  <si>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</si>
  <si>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</si>
  <si>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</si>
  <si>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</si>
  <si>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</si>
  <si>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</si>
  <si>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</si>
  <si>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</si>
  <si>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</si>
  <si>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</si>
  <si>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</si>
  <si>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</si>
  <si>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</si>
  <si>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</si>
  <si>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</si>
  <si>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</si>
  <si>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</si>
  <si>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</si>
  <si>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</si>
  <si>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</si>
  <si>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</si>
  <si>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</si>
  <si>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</si>
  <si>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</si>
  <si>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</si>
  <si>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</si>
  <si>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</si>
  <si>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</si>
  <si>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</si>
  <si>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</si>
  <si>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</si>
  <si>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</si>
  <si>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</si>
  <si>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</si>
  <si>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</si>
  <si>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</si>
  <si>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</si>
  <si>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</si>
  <si>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</si>
  <si>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</si>
  <si>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</si>
  <si>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</si>
  <si>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</si>
  <si>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</si>
  <si>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</si>
  <si>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</si>
  <si>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</si>
  <si>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</si>
  <si>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</si>
  <si>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</si>
  <si>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</si>
  <si>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</si>
  <si>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</si>
  <si>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</si>
  <si>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</si>
  <si>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</si>
  <si>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</si>
  <si>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</si>
  <si>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</si>
  <si>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</si>
  <si>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</si>
  <si>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</si>
  <si>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</si>
  <si>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</si>
  <si>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</si>
  <si>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</si>
  <si>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</si>
  <si>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</si>
  <si>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</si>
  <si>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</si>
  <si>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</si>
  <si>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</si>
  <si>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</si>
  <si>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</si>
  <si>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</si>
  <si>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</si>
  <si>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</si>
  <si>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</si>
  <si>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</si>
  <si>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</si>
  <si>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</si>
  <si>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</si>
  <si>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</si>
  <si>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</si>
  <si>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</si>
  <si>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</si>
  <si>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</si>
  <si>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</si>
  <si>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</si>
  <si>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</si>
  <si>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</si>
  <si>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</si>
  <si>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</si>
  <si>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</si>
  <si>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</si>
  <si>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</si>
  <si>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</si>
  <si>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</si>
  <si>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</si>
  <si>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</si>
  <si>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</si>
  <si>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</si>
  <si>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</si>
  <si>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</si>
  <si>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</si>
  <si>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</si>
  <si>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</si>
  <si>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</si>
  <si>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</si>
  <si>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</si>
  <si>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</si>
  <si>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</si>
  <si>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</si>
  <si>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</si>
  <si>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</si>
  <si>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</si>
  <si>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</si>
  <si>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</si>
  <si>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</si>
  <si>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</si>
  <si>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</si>
  <si>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</si>
  <si>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</si>
  <si>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</si>
  <si>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</si>
  <si>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</si>
  <si>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</si>
  <si>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</si>
  <si>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</si>
  <si>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</si>
  <si>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</si>
  <si>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</si>
  <si>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</si>
  <si>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</si>
  <si>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</si>
  <si>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</si>
  <si>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</si>
  <si>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</si>
  <si>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</si>
  <si>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</si>
  <si>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</si>
  <si>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</si>
  <si>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</si>
  <si>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</si>
  <si>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</si>
  <si>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</si>
  <si>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</si>
  <si>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</si>
  <si>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</si>
  <si>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</si>
  <si>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</si>
  <si>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</si>
  <si>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</si>
  <si>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</si>
  <si>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</si>
  <si>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</si>
  <si>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</si>
  <si>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</si>
  <si>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</si>
  <si>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</si>
  <si>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</si>
  <si>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</si>
  <si>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</si>
  <si>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</si>
  <si>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</si>
  <si>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</si>
  <si>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</si>
  <si>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</si>
  <si>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</si>
  <si>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</si>
  <si>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</si>
  <si>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</si>
  <si>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</si>
  <si>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</si>
  <si>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</si>
  <si>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</si>
  <si>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</si>
  <si>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</si>
  <si>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</si>
  <si>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</si>
  <si>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</si>
  <si>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</si>
  <si>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</si>
  <si>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</si>
  <si>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</si>
  <si>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</si>
  <si>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</si>
  <si>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</si>
  <si>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</si>
  <si>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</si>
  <si>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</si>
  <si>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</si>
  <si>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</si>
  <si>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</si>
  <si>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</si>
  <si>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</si>
  <si>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</si>
  <si>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</si>
  <si>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</si>
  <si>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</si>
  <si>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</si>
  <si>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</si>
  <si>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</si>
  <si>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</si>
  <si>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</si>
  <si>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</si>
  <si>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</si>
  <si>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</si>
  <si>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</si>
  <si>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</si>
  <si>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</si>
  <si>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</si>
  <si>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</si>
  <si>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</si>
  <si>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</si>
  <si>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</si>
  <si>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</si>
  <si>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</si>
  <si>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</si>
  <si>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</si>
  <si>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</si>
  <si>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</si>
  <si>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</si>
  <si>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</si>
  <si>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</si>
  <si>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</si>
  <si>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</si>
  <si>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</si>
  <si>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</si>
  <si>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</si>
  <si>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</si>
  <si>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</si>
  <si>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</si>
  <si>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</si>
  <si>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</si>
  <si>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</si>
  <si>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</si>
  <si>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</si>
  <si>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</si>
  <si>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</si>
  <si>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</si>
  <si>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</si>
  <si>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</si>
  <si>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</si>
  <si>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</si>
  <si>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</si>
  <si>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</si>
  <si>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</si>
  <si>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</si>
  <si>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</si>
  <si>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</si>
  <si>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</si>
  <si>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</si>
  <si>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</si>
  <si>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</si>
  <si>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</si>
  <si>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</si>
  <si>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</si>
  <si>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</si>
  <si>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</si>
  <si>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</si>
  <si>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</si>
  <si>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</si>
  <si>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</si>
  <si>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</si>
  <si>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</si>
  <si>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</si>
  <si>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</si>
  <si>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</si>
  <si>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</si>
  <si>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</si>
  <si>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</si>
  <si>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</si>
  <si>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</si>
  <si>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</si>
  <si>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</si>
  <si>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</si>
  <si>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</si>
  <si>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</si>
  <si>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</si>
  <si>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</si>
  <si>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</si>
  <si>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</si>
  <si>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</si>
  <si>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</si>
  <si>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</si>
  <si>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</si>
  <si>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</si>
  <si>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</si>
  <si>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</si>
  <si>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</si>
  <si>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</si>
  <si>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</si>
  <si>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</si>
  <si>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</si>
  <si>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</si>
  <si>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</si>
  <si>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</si>
  <si>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</si>
  <si>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</si>
  <si>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</si>
  <si>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</si>
  <si>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</si>
  <si>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</si>
  <si>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</si>
  <si>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</si>
  <si>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</si>
  <si>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</si>
  <si>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</si>
  <si>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</si>
  <si>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</si>
  <si>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</si>
  <si>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</si>
  <si>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</si>
  <si>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</si>
  <si>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</si>
  <si>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</si>
  <si>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</si>
  <si>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</si>
  <si>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</si>
  <si>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</si>
  <si>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</si>
  <si>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</si>
  <si>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</si>
  <si>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</si>
  <si>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</si>
  <si>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</si>
  <si>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</si>
  <si>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</si>
  <si>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</si>
  <si>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</si>
  <si>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</si>
  <si>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</si>
  <si>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</si>
  <si>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</si>
  <si>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</si>
  <si>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</si>
  <si>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</si>
  <si>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</si>
  <si>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</si>
  <si>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</si>
  <si>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</si>
  <si>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</si>
  <si>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</si>
  <si>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</si>
  <si>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</si>
  <si>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</si>
  <si>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</si>
  <si>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</si>
  <si>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</si>
  <si>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</si>
  <si>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</si>
  <si>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</si>
  <si>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</si>
  <si>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</si>
  <si>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</si>
  <si>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</si>
  <si>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</si>
  <si>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</si>
  <si>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</si>
  <si>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</si>
  <si>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</si>
  <si>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</si>
  <si>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</si>
  <si>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</si>
  <si>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</si>
  <si>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</si>
  <si>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</si>
  <si>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</si>
  <si>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</si>
  <si>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</si>
  <si>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</si>
  <si>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</si>
  <si>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</si>
  <si>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</si>
  <si>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</si>
  <si>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</si>
  <si>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</si>
  <si>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</si>
  <si>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</si>
  <si>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</si>
  <si>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</si>
  <si>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</si>
  <si>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</si>
  <si>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</si>
  <si>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</si>
  <si>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</si>
  <si>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</si>
  <si>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</si>
  <si>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</si>
  <si>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</si>
  <si>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</si>
  <si>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</si>
  <si>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</si>
  <si>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</si>
  <si>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</si>
  <si>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</si>
  <si>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</si>
  <si>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</si>
  <si>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</si>
  <si>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</si>
  <si>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</si>
  <si>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</si>
  <si>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</si>
  <si>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</si>
  <si>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</si>
  <si>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</si>
  <si>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</si>
  <si>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</si>
  <si>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</si>
  <si>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</si>
  <si>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</si>
  <si>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</si>
  <si>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</si>
  <si>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</si>
  <si>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</si>
  <si>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</si>
  <si>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</si>
  <si>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</si>
  <si>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</si>
  <si>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</si>
  <si>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</si>
  <si>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</si>
  <si>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</si>
  <si>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</si>
  <si>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</si>
  <si>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</si>
  <si>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</si>
  <si>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</si>
  <si>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</si>
  <si>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</si>
  <si>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</si>
  <si>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</si>
  <si>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</si>
  <si>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</si>
  <si>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</si>
  <si>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</si>
  <si>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</si>
  <si>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</si>
  <si>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</si>
  <si>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</si>
  <si>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</si>
  <si>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</si>
  <si>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</si>
  <si>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</si>
  <si>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</si>
  <si>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</si>
  <si>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</si>
  <si>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</si>
  <si>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</si>
  <si>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</si>
  <si>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</si>
  <si>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</si>
  <si>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</si>
  <si>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</si>
  <si>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</si>
  <si>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</si>
  <si>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</si>
  <si>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</si>
  <si>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</si>
  <si>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</si>
  <si>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</si>
  <si>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</si>
  <si>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</si>
  <si>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</si>
  <si>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</si>
  <si>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</si>
  <si>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</si>
  <si>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</si>
  <si>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</si>
  <si>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</si>
  <si>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</si>
  <si>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</si>
  <si>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</si>
  <si>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</si>
  <si>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</si>
  <si>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</si>
  <si>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</si>
  <si>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</si>
  <si>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</si>
  <si>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</si>
  <si>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</si>
  <si>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</si>
  <si>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</si>
  <si>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</si>
  <si>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</si>
  <si>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</si>
  <si>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</si>
  <si>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</si>
  <si>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</si>
  <si>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</si>
  <si>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</si>
  <si>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</si>
  <si>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</si>
  <si>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</si>
  <si>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</si>
  <si>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</si>
  <si>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</si>
  <si>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</si>
  <si>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</si>
  <si>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</si>
  <si>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</si>
  <si>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</si>
  <si>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</si>
  <si>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</si>
  <si>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</si>
  <si>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</si>
  <si>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</si>
  <si>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</si>
  <si>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</si>
  <si>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</si>
  <si>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</si>
  <si>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</si>
  <si>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</si>
  <si>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</si>
  <si>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</si>
  <si>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</si>
  <si>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</si>
  <si>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</si>
  <si>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</si>
  <si>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</si>
  <si>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</si>
  <si>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</si>
  <si>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</si>
  <si>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</si>
  <si>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</si>
  <si>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</si>
  <si>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</si>
  <si>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</si>
  <si>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</si>
  <si>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</si>
  <si>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</si>
  <si>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</si>
  <si>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</si>
  <si>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</si>
  <si>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</si>
  <si>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</si>
  <si>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</si>
  <si>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</si>
  <si>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</si>
  <si>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</si>
  <si>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</si>
  <si>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</si>
  <si>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</si>
  <si>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</si>
  <si>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</si>
  <si>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</si>
  <si>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</si>
  <si>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</si>
  <si>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</si>
  <si>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</si>
  <si>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</si>
  <si>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</si>
  <si>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</si>
  <si>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</si>
  <si>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</si>
  <si>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</si>
  <si>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</si>
  <si>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</si>
  <si>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</si>
  <si>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</si>
  <si>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</si>
  <si>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</si>
  <si>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</si>
  <si>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</si>
  <si>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</si>
  <si>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</si>
  <si>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</si>
  <si>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</si>
  <si>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</si>
  <si>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</si>
  <si>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</si>
  <si>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</si>
  <si>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</si>
  <si>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</si>
  <si>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</si>
  <si>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</si>
  <si>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</si>
  <si>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</si>
  <si>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</si>
  <si>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</si>
  <si>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</si>
  <si>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</si>
  <si>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</si>
  <si>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</si>
  <si>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</si>
  <si>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</si>
  <si>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</si>
  <si>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</si>
  <si>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</si>
  <si>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</si>
  <si>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</si>
  <si>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</si>
  <si>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</si>
  <si>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</si>
  <si>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</si>
  <si>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</si>
  <si>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</si>
  <si>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</si>
  <si>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</si>
  <si>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</si>
  <si>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</si>
  <si>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</si>
  <si>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</si>
  <si>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</si>
  <si>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</si>
  <si>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</si>
  <si>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</si>
  <si>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</si>
  <si>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</si>
  <si>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</si>
  <si>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</si>
  <si>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</si>
  <si>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</si>
  <si>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</si>
  <si>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</si>
  <si>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</si>
  <si>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</si>
  <si>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</si>
  <si>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</si>
  <si>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</si>
  <si>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</si>
  <si>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</si>
  <si>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</si>
  <si>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</si>
  <si>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</si>
  <si>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</si>
  <si>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</si>
  <si>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</si>
  <si>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</si>
  <si>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</si>
  <si>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</si>
  <si>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</si>
  <si>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</si>
  <si>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</si>
  <si>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</si>
  <si>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</si>
  <si>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</si>
  <si>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</si>
  <si>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</si>
  <si>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</si>
  <si>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</si>
  <si>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</si>
  <si>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</si>
  <si>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</si>
  <si>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</si>
  <si>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</si>
  <si>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</si>
  <si>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</si>
  <si>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</si>
  <si>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</si>
  <si>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</si>
  <si>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</si>
  <si>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</si>
  <si>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</si>
  <si>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</si>
  <si>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</si>
  <si>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</si>
  <si>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</si>
  <si>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</si>
  <si>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</si>
  <si>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</si>
  <si>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</si>
  <si>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</si>
  <si>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</si>
  <si>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</si>
  <si>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</si>
  <si>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</si>
  <si>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</si>
  <si>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</si>
  <si>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</si>
  <si>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</si>
  <si>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</si>
  <si>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</si>
  <si>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</si>
  <si>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</si>
  <si>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</si>
  <si>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</si>
  <si>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</si>
  <si>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</si>
  <si>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</si>
  <si>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</si>
  <si>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</si>
  <si>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</si>
  <si>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</si>
  <si>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</si>
  <si>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</si>
  <si>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</si>
  <si>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</si>
  <si>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</si>
  <si>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</si>
  <si>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</si>
  <si>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</si>
  <si>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</si>
  <si>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</si>
  <si>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</si>
  <si>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</si>
  <si>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</si>
  <si>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</si>
  <si>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</si>
  <si>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</si>
  <si>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</si>
  <si>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</si>
  <si>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</si>
  <si>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</si>
  <si>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</si>
  <si>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</si>
  <si>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</si>
  <si>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</si>
  <si>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</si>
  <si>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</si>
  <si>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</si>
  <si>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</si>
  <si>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</si>
  <si>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</si>
  <si>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</si>
  <si>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</si>
  <si>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</si>
  <si>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</si>
  <si>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</si>
  <si>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</si>
  <si>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</si>
  <si>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</si>
  <si>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</si>
  <si>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</si>
  <si>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</si>
  <si>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</si>
  <si>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</si>
  <si>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</si>
  <si>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</si>
  <si>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</si>
  <si>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</si>
  <si>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</si>
  <si>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</si>
  <si>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</si>
  <si>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</si>
  <si>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</si>
  <si>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</si>
  <si>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</si>
  <si>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</si>
  <si>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</si>
  <si>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</si>
  <si>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</si>
  <si>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</si>
  <si>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</si>
  <si>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</si>
  <si>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</si>
  <si>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</si>
  <si>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</si>
  <si>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</si>
  <si>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</si>
  <si>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</si>
  <si>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</si>
  <si>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</si>
  <si>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</si>
  <si>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</si>
  <si>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</si>
  <si>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</si>
  <si>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</si>
  <si>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</si>
  <si>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</si>
  <si>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</si>
  <si>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</si>
  <si>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</si>
  <si>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</si>
  <si>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</si>
  <si>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</si>
  <si>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</si>
  <si>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</si>
  <si>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</si>
  <si>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</si>
  <si>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</si>
  <si>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</si>
  <si>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</si>
  <si>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</si>
  <si>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</si>
  <si>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</si>
  <si>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</si>
  <si>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</si>
  <si>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</si>
  <si>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</si>
  <si>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</si>
  <si>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</si>
  <si>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</si>
  <si>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</si>
  <si>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</si>
  <si>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</si>
  <si>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</si>
  <si>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</si>
  <si>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</si>
  <si>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</si>
  <si>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</si>
  <si>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</si>
  <si>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</si>
  <si>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</si>
  <si>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</si>
  <si>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</si>
  <si>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</si>
  <si>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</si>
  <si>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</si>
  <si>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</si>
  <si>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</si>
  <si>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</si>
  <si>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</si>
  <si>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</si>
  <si>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</si>
  <si>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</si>
  <si>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</si>
  <si>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</si>
  <si>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</si>
  <si>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</si>
  <si>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</si>
  <si>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</si>
  <si>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</si>
  <si>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</si>
  <si>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</si>
  <si>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</si>
  <si>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</si>
  <si>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</si>
  <si>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</si>
  <si>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</si>
  <si>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</si>
  <si>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</si>
  <si>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</si>
  <si>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</si>
  <si>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</si>
  <si>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</si>
  <si>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</si>
  <si>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</si>
  <si>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</si>
  <si>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</si>
  <si>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</si>
  <si>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</si>
  <si>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</si>
  <si>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</si>
  <si>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</si>
  <si>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</si>
  <si>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</si>
  <si>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</si>
  <si>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</si>
  <si>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</si>
  <si>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</si>
  <si>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</si>
  <si>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</si>
  <si>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</si>
  <si>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</si>
  <si>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</si>
  <si>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</si>
  <si>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</si>
  <si>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</si>
  <si>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</si>
  <si>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</si>
  <si>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</si>
  <si>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</si>
  <si>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</si>
  <si>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</si>
  <si>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</si>
  <si>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</si>
  <si>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</si>
  <si>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</si>
  <si>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</si>
  <si>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</si>
  <si>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</si>
  <si>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</si>
  <si>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</si>
  <si>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</si>
  <si>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</si>
  <si>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</si>
  <si>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</si>
  <si>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</si>
  <si>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</si>
  <si>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</si>
  <si>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</si>
  <si>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</si>
  <si>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</si>
  <si>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</si>
  <si>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</si>
  <si>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</si>
  <si>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</si>
  <si>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</si>
  <si>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</si>
  <si>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</si>
  <si>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</si>
  <si>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</si>
  <si>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</si>
  <si>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</si>
  <si>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</si>
  <si>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</si>
  <si>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</si>
  <si>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</si>
  <si>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</si>
  <si>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</si>
  <si>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</si>
  <si>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</si>
  <si>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</si>
  <si>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</si>
  <si>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</si>
  <si>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</si>
  <si>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</si>
  <si>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</si>
  <si>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</si>
  <si>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</si>
  <si>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</si>
  <si>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</si>
  <si>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</si>
  <si>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</si>
  <si>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</si>
  <si>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</si>
  <si>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</si>
  <si>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</si>
  <si>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</si>
  <si>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</si>
  <si>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</si>
  <si>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</si>
  <si>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</si>
  <si>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</si>
  <si>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</si>
  <si>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</si>
  <si>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</si>
  <si>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</si>
  <si>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</si>
  <si>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</si>
  <si>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</si>
  <si>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</si>
  <si>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</si>
  <si>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</si>
  <si>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</si>
  <si>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</si>
  <si>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</si>
  <si>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</si>
  <si>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</si>
  <si>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</si>
  <si>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</si>
  <si>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</si>
  <si>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</si>
  <si>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</si>
  <si>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</si>
  <si>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</si>
  <si>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</si>
  <si>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</si>
  <si>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</si>
  <si>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</si>
  <si>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</si>
  <si>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</si>
  <si>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</si>
  <si>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</si>
  <si>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</si>
  <si>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</si>
  <si>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</si>
  <si>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</si>
  <si>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</si>
  <si>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</si>
  <si>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</si>
  <si>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</si>
  <si>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</si>
  <si>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</si>
  <si>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</si>
  <si>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</si>
  <si>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</si>
  <si>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</si>
  <si>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</si>
  <si>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</si>
  <si>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</si>
  <si>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</si>
  <si>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</si>
  <si>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</si>
  <si>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</si>
  <si>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</si>
  <si>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</si>
  <si>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</si>
  <si>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</si>
  <si>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</si>
  <si>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</si>
  <si>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</si>
  <si>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</si>
  <si>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</si>
  <si>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</si>
  <si>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</si>
  <si>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</si>
  <si>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</si>
  <si>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</si>
  <si>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</si>
  <si>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</si>
  <si>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</si>
  <si>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</si>
  <si>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</si>
  <si>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</si>
  <si>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</si>
  <si>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</si>
  <si>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</si>
  <si>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</si>
  <si>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</si>
  <si>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</si>
  <si>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</si>
  <si>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</si>
  <si>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</si>
  <si>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</si>
  <si>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</si>
  <si>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</si>
  <si>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</si>
  <si>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</si>
  <si>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</si>
  <si>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</si>
  <si>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</si>
  <si>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</si>
  <si>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</si>
  <si>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</si>
  <si>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</si>
  <si>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</si>
  <si>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</si>
  <si>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</si>
  <si>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</si>
  <si>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</si>
  <si>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</si>
  <si>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</si>
  <si>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</si>
  <si>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</si>
  <si>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</si>
  <si>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</si>
  <si>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</si>
  <si>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</si>
  <si>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</si>
  <si>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</si>
  <si>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</si>
  <si>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</si>
  <si>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</si>
  <si>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</si>
  <si>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</si>
  <si>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</si>
  <si>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</si>
  <si>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</si>
  <si>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</si>
  <si>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</si>
  <si>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</si>
  <si>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</si>
  <si>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</si>
  <si>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</si>
  <si>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</si>
  <si>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</si>
  <si>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</si>
  <si>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</si>
  <si>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</si>
  <si>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</si>
  <si>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</si>
  <si>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</si>
  <si>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</si>
  <si>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</si>
  <si>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</si>
  <si>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</si>
  <si>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</si>
  <si>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</si>
  <si>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</si>
  <si>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</si>
  <si>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</si>
  <si>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</si>
  <si>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</si>
  <si>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</si>
  <si>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</si>
  <si>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</si>
  <si>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</si>
  <si>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</si>
  <si>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</si>
  <si>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</si>
  <si>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</si>
  <si>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</si>
  <si>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</si>
  <si>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</si>
  <si>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</si>
  <si>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</si>
  <si>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</si>
  <si>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</si>
  <si>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</si>
  <si>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</si>
  <si>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</si>
  <si>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</si>
  <si>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</si>
  <si>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</si>
  <si>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</si>
  <si>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</si>
  <si>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</si>
  <si>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</si>
  <si>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</si>
  <si>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</si>
  <si>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</si>
  <si>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</si>
  <si>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</si>
  <si>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</si>
  <si>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</si>
  <si>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</si>
  <si>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</si>
  <si>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</si>
  <si>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</si>
  <si>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</si>
  <si>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</si>
  <si>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</si>
  <si>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</si>
  <si>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</si>
  <si>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</si>
  <si>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</si>
  <si>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</si>
  <si>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</si>
  <si>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</si>
  <si>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</si>
  <si>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</si>
  <si>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</si>
  <si>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</si>
  <si>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</si>
  <si>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</si>
  <si>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</si>
  <si>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</si>
  <si>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</si>
  <si>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</si>
  <si>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</si>
  <si>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</si>
  <si>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</si>
  <si>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</si>
  <si>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</si>
  <si>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</si>
  <si>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</si>
  <si>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</si>
  <si>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</si>
  <si>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</si>
  <si>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</si>
  <si>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</si>
  <si>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</si>
  <si>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</si>
  <si>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</si>
  <si>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</si>
  <si>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</si>
  <si>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</si>
  <si>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</si>
  <si>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</si>
  <si>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</si>
  <si>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</si>
  <si>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</si>
  <si>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</si>
  <si>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</si>
  <si>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</si>
  <si>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</si>
  <si>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</si>
  <si>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</si>
  <si>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</si>
  <si>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</si>
  <si>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</si>
  <si>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</si>
  <si>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</si>
  <si>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</si>
  <si>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</si>
  <si>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</si>
  <si>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</si>
  <si>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</si>
  <si>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</si>
  <si>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</si>
  <si>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</si>
  <si>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</si>
  <si>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</si>
  <si>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</si>
  <si>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</si>
  <si>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</si>
  <si>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</si>
  <si>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</si>
  <si>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</si>
  <si>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</si>
  <si>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</si>
  <si>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</si>
  <si>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</si>
  <si>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</si>
  <si>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</si>
  <si>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</si>
  <si>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</si>
  <si>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</si>
  <si>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</si>
  <si>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</si>
  <si>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</si>
  <si>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</si>
  <si>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</si>
  <si>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</si>
  <si>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</si>
  <si>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</si>
  <si>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</si>
  <si>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</si>
  <si>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</si>
  <si>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</si>
  <si>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</si>
  <si>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</si>
  <si>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</si>
  <si>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</si>
  <si>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</si>
  <si>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</si>
  <si>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</si>
  <si>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</si>
  <si>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</si>
  <si>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</si>
  <si>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</si>
  <si>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</si>
  <si>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</si>
  <si>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</si>
  <si>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</si>
  <si>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</si>
  <si>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</si>
  <si>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</si>
  <si>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</si>
  <si>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</si>
  <si>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</si>
  <si>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</si>
  <si>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</si>
  <si>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</si>
  <si>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</si>
  <si>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</si>
  <si>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</si>
  <si>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</si>
  <si>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</si>
  <si>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</si>
  <si>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</si>
  <si>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</si>
  <si>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</si>
  <si>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</si>
  <si>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</si>
  <si>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</si>
  <si>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</si>
  <si>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</si>
  <si>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</si>
  <si>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</si>
  <si>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</si>
  <si>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</si>
  <si>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</si>
  <si>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</si>
  <si>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</si>
  <si>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</si>
  <si>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</si>
  <si>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</si>
  <si>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</si>
  <si>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</si>
  <si>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</si>
  <si>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</si>
  <si>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</si>
  <si>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</si>
  <si>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</si>
  <si>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</si>
  <si>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</si>
  <si>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</si>
  <si>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</si>
  <si>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</si>
  <si>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</si>
  <si>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</si>
  <si>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</si>
  <si>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</si>
  <si>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</si>
  <si>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</si>
  <si>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</si>
  <si>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</si>
  <si>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</si>
  <si>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</si>
  <si>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</si>
  <si>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</si>
  <si>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</si>
  <si>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</si>
  <si>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</si>
  <si>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</si>
  <si>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</si>
  <si>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</si>
  <si>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</si>
  <si>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</si>
  <si>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</si>
  <si>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</si>
  <si>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</si>
  <si>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</si>
  <si>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</si>
  <si>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</si>
  <si>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</si>
  <si>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</si>
  <si>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</si>
  <si>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</si>
  <si>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</si>
  <si>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</si>
  <si>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</si>
  <si>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</si>
  <si>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</si>
  <si>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</si>
  <si>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</si>
  <si>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</si>
  <si>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</si>
  <si>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</si>
  <si>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</si>
  <si>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</si>
  <si>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</si>
  <si>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</si>
  <si>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</si>
  <si>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</si>
  <si>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</si>
  <si>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</si>
  <si>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</si>
  <si>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</si>
  <si>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</si>
  <si>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</si>
  <si>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</si>
  <si>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</si>
  <si>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</si>
  <si>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</si>
  <si>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</si>
  <si>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</si>
  <si>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</si>
  <si>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</si>
  <si>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</si>
  <si>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</si>
  <si>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</si>
  <si>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</si>
  <si>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</si>
  <si>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</si>
  <si>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</si>
  <si>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</si>
  <si>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</si>
  <si>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</si>
  <si>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</si>
  <si>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</si>
  <si>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</si>
  <si>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</si>
  <si>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</si>
  <si>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</si>
  <si>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</si>
  <si>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</si>
  <si>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</si>
  <si>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</si>
  <si>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</si>
  <si>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</si>
  <si>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</si>
  <si>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</si>
  <si>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</si>
  <si>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</si>
  <si>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</si>
  <si>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</si>
  <si>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</si>
  <si>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</si>
  <si>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</si>
  <si>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</si>
  <si>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</si>
  <si>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</si>
  <si>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</si>
  <si>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</si>
  <si>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</si>
  <si>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</si>
  <si>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</si>
  <si>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</si>
  <si>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</si>
  <si>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</si>
  <si>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</si>
  <si>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</si>
  <si>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</si>
  <si>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</si>
  <si>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</si>
  <si>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</si>
  <si>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</si>
  <si>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</si>
  <si>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</si>
  <si>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</si>
  <si>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</si>
  <si>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</si>
  <si>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</si>
  <si>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</si>
  <si>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</si>
  <si>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</si>
  <si>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</si>
  <si>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</si>
  <si>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</si>
  <si>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</si>
  <si>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</si>
  <si>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</si>
  <si>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</si>
  <si>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</si>
  <si>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</si>
  <si>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</si>
  <si>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</si>
  <si>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</si>
  <si>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</si>
  <si>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</si>
  <si>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</si>
  <si>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</si>
  <si>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</si>
  <si>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</si>
  <si>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</si>
  <si>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</si>
  <si>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</si>
  <si>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</si>
  <si>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</si>
  <si>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</si>
  <si>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</si>
  <si>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</si>
  <si>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</si>
  <si>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</si>
  <si>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</si>
  <si>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</si>
  <si>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</si>
  <si>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</si>
  <si>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</si>
  <si>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</si>
  <si>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</si>
  <si>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</si>
  <si>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</si>
  <si>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</si>
  <si>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</si>
  <si>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</si>
  <si>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</si>
  <si>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</si>
  <si>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</si>
  <si>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</si>
  <si>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</si>
  <si>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</si>
  <si>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</si>
  <si>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</si>
  <si>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</si>
  <si>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</si>
  <si>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</si>
  <si>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</si>
  <si>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</si>
  <si>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</si>
  <si>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</si>
  <si>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</si>
  <si>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</si>
  <si>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</si>
  <si>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</si>
  <si>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</si>
  <si>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</si>
  <si>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</si>
  <si>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</si>
  <si>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</si>
  <si>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</si>
  <si>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</si>
  <si>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</si>
  <si>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</si>
  <si>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</si>
  <si>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</si>
  <si>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</si>
  <si>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</si>
  <si>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</si>
  <si>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</si>
  <si>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</si>
  <si>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</si>
  <si>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</si>
  <si>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</si>
  <si>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</si>
  <si>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</si>
  <si>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</si>
  <si>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</si>
  <si>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</si>
  <si>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</si>
  <si>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</si>
  <si>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</si>
  <si>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</si>
  <si>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</si>
  <si>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</si>
  <si>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</si>
  <si>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</si>
  <si>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</si>
  <si>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</si>
  <si>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</si>
  <si>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</si>
  <si>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</si>
  <si>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</si>
  <si>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</si>
  <si>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</si>
  <si>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</si>
  <si>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</si>
  <si>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</si>
  <si>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</si>
  <si>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</si>
  <si>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</si>
  <si>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</si>
  <si>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</si>
  <si>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</si>
  <si>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</si>
  <si>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</si>
  <si>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</si>
  <si>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</si>
  <si>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</si>
  <si>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</si>
  <si>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</si>
  <si>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</si>
  <si>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</si>
  <si>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</si>
  <si>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</si>
  <si>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</si>
  <si>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</si>
  <si>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</si>
  <si>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</si>
  <si>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</si>
  <si>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</si>
  <si>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</si>
  <si>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</si>
  <si>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</si>
  <si>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</si>
  <si>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</si>
  <si>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</si>
  <si>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</si>
  <si>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</si>
  <si>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</si>
  <si>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</si>
  <si>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</si>
  <si>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</si>
  <si>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</si>
  <si>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</si>
  <si>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</si>
  <si>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</si>
  <si>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</si>
  <si>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</si>
  <si>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</si>
  <si>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</si>
  <si>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</si>
  <si>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</si>
  <si>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</si>
  <si>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</si>
  <si>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</si>
  <si>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</si>
  <si>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</si>
  <si>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</si>
  <si>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</si>
  <si>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</si>
  <si>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</si>
  <si>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</si>
  <si>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</si>
  <si>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</si>
  <si>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</si>
  <si>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</si>
  <si>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</si>
  <si>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</si>
  <si>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</si>
  <si>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</si>
  <si>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</si>
  <si>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</si>
  <si>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</si>
  <si>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</si>
  <si>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</si>
  <si>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</si>
  <si>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</si>
  <si>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</si>
  <si>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</si>
  <si>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</si>
  <si>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</si>
  <si>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</si>
  <si>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</si>
  <si>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</si>
  <si>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</si>
  <si>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</si>
  <si>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</si>
  <si>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</si>
  <si>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</si>
  <si>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</si>
  <si>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</si>
  <si>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</si>
  <si>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</si>
  <si>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</si>
  <si>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</si>
  <si>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</si>
  <si>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</si>
  <si>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</si>
  <si>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</si>
  <si>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</si>
  <si>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</si>
  <si>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</si>
  <si>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</si>
  <si>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</si>
  <si>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</si>
  <si>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</si>
  <si>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</si>
  <si>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</si>
  <si>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</si>
  <si>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</si>
  <si>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</si>
  <si>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</si>
  <si>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</si>
  <si>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</si>
  <si>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</si>
  <si>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</si>
  <si>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</si>
  <si>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</si>
  <si>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</si>
  <si>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</si>
  <si>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</si>
  <si>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</si>
  <si>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</si>
  <si>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</si>
  <si>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</si>
  <si>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</si>
  <si>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</si>
  <si>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</si>
  <si>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</si>
  <si>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</si>
  <si>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</si>
  <si>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</si>
  <si>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</si>
  <si>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</si>
  <si>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</si>
  <si>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</si>
  <si>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</si>
  <si>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</si>
  <si>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</si>
  <si>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</si>
  <si>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</si>
  <si>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</si>
  <si>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</si>
  <si>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</si>
  <si>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</si>
  <si>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</si>
  <si>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</si>
  <si>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</si>
  <si>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</si>
  <si>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</si>
  <si>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</si>
  <si>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</si>
  <si>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</si>
  <si>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</si>
  <si>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</si>
  <si>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</si>
  <si>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</si>
  <si>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</si>
  <si>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</si>
  <si>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</si>
  <si>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</si>
  <si>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</si>
  <si>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</si>
  <si>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</si>
  <si>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</si>
  <si>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</si>
  <si>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</si>
  <si>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</si>
  <si>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</si>
  <si>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</si>
  <si>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</si>
  <si>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</si>
  <si>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</si>
  <si>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</si>
  <si>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</si>
  <si>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</si>
  <si>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</si>
  <si>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</si>
  <si>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</si>
  <si>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</si>
  <si>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</si>
  <si>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</si>
  <si>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</si>
  <si>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</si>
  <si>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</si>
  <si>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</si>
  <si>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</si>
  <si>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</si>
  <si>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</si>
  <si>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</si>
  <si>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</si>
  <si>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</si>
  <si>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</si>
  <si>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</si>
  <si>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</si>
  <si>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</si>
  <si>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</si>
  <si>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</si>
  <si>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</si>
  <si>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</si>
  <si>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</si>
  <si>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</si>
  <si>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</si>
  <si>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</si>
  <si>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</si>
  <si>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</si>
  <si>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</si>
  <si>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</si>
  <si>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</si>
  <si>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</si>
  <si>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</si>
  <si>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</si>
  <si>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</si>
  <si>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</si>
  <si>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</si>
  <si>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</si>
  <si>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</si>
  <si>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</si>
  <si>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</si>
  <si>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</si>
  <si>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</si>
  <si>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</si>
  <si>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</si>
  <si>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</si>
  <si>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</si>
  <si>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</si>
  <si>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</si>
  <si>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</si>
  <si>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</si>
  <si>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</si>
  <si>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</si>
  <si>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</si>
  <si>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</si>
  <si>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</si>
  <si>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</si>
  <si>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</si>
  <si>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</si>
  <si>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</si>
  <si>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</si>
  <si>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</si>
  <si>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</si>
  <si>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</si>
  <si>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</si>
  <si>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</si>
  <si>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</si>
  <si>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</si>
  <si>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</si>
  <si>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</si>
  <si>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</si>
  <si>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</si>
  <si>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</si>
  <si>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</si>
  <si>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</si>
  <si>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</si>
  <si>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</si>
  <si>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</si>
  <si>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</si>
  <si>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</si>
  <si>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</si>
  <si>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</si>
  <si>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</si>
  <si>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</si>
  <si>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</si>
  <si>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</si>
  <si>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</si>
  <si>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</si>
  <si>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</si>
  <si>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</si>
  <si>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</si>
  <si>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</si>
  <si>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</si>
  <si>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</si>
  <si>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</si>
  <si>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</si>
  <si>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</si>
  <si>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</si>
  <si>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</si>
  <si>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</si>
  <si>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</si>
  <si>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</si>
  <si>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</si>
  <si>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</si>
  <si>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</si>
  <si>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</si>
  <si>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</si>
  <si>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</si>
  <si>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</si>
  <si>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</si>
  <si>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</si>
  <si>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</si>
  <si>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</si>
  <si>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</si>
  <si>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</si>
  <si>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</si>
  <si>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</si>
  <si>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</si>
  <si>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</si>
  <si>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</si>
  <si>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</si>
  <si>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</si>
  <si>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</si>
  <si>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</si>
  <si>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</si>
  <si>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</si>
  <si>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</si>
  <si>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</si>
  <si>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</si>
  <si>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</si>
  <si>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</si>
  <si>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</si>
  <si>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</si>
  <si>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</si>
  <si>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</si>
  <si>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</si>
  <si>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</si>
  <si>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</si>
  <si>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</si>
  <si>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</si>
  <si>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</si>
  <si>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</si>
  <si>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</si>
  <si>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</si>
  <si>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</si>
  <si>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</si>
  <si>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</si>
  <si>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</si>
  <si>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</si>
  <si>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</si>
  <si>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</si>
  <si>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</si>
  <si>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</si>
  <si>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</si>
  <si>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</si>
  <si>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</si>
  <si>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</si>
  <si>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</si>
  <si>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</si>
  <si>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</si>
  <si>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</si>
  <si>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</si>
  <si>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</si>
  <si>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</si>
  <si>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</si>
  <si>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</si>
  <si>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</si>
  <si>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</si>
  <si>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</si>
  <si>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</si>
  <si>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</si>
  <si>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</si>
  <si>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</si>
  <si>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</si>
  <si>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</si>
  <si>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</si>
  <si>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</si>
  <si>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</si>
  <si>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</si>
  <si>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</si>
  <si>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</si>
  <si>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</si>
  <si>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</si>
  <si>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</si>
  <si>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</si>
  <si>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</si>
  <si>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</si>
  <si>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</si>
  <si>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</si>
  <si>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</si>
  <si>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</si>
  <si>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</si>
  <si>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</si>
  <si>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</si>
  <si>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</si>
  <si>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</si>
  <si>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</si>
  <si>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</si>
  <si>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</si>
  <si>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</si>
  <si>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</si>
  <si>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</si>
  <si>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</si>
  <si>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</si>
  <si>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</si>
  <si>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</si>
  <si>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</si>
  <si>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</si>
  <si>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</si>
  <si>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</si>
  <si>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</si>
  <si>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</si>
  <si>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</si>
  <si>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</si>
  <si>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</si>
  <si>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</si>
  <si>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</si>
  <si>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</si>
  <si>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</si>
  <si>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</si>
  <si>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</si>
  <si>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</si>
  <si>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</si>
  <si>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</si>
  <si>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</si>
  <si>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</si>
  <si>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</si>
  <si>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</si>
  <si>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</si>
  <si>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</si>
  <si>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</si>
  <si>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</si>
  <si>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</si>
  <si>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</si>
  <si>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</si>
  <si>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</si>
  <si>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</si>
  <si>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</si>
  <si>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</si>
  <si>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</si>
  <si>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</si>
  <si>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</si>
  <si>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</si>
  <si>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</si>
  <si>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</si>
  <si>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</si>
  <si>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</si>
  <si>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</si>
  <si>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</si>
  <si>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</si>
  <si>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</si>
  <si>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</si>
  <si>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</si>
  <si>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</si>
  <si>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</si>
  <si>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</si>
  <si>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</si>
  <si>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</si>
  <si>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</si>
  <si>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</si>
  <si>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</si>
  <si>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</si>
  <si>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</si>
  <si>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</si>
  <si>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</si>
  <si>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</si>
  <si>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</si>
  <si>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</si>
  <si>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</si>
  <si>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</si>
  <si>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</si>
  <si>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</si>
  <si>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</si>
  <si>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</si>
  <si>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</si>
  <si>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</si>
  <si>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</si>
  <si>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</si>
  <si>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</si>
  <si>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</si>
  <si>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</si>
  <si>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</si>
  <si>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</si>
  <si>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</si>
  <si>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</si>
  <si>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</si>
  <si>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</si>
  <si>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</si>
  <si>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</si>
  <si>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</si>
  <si>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</si>
  <si>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</si>
  <si>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</si>
  <si>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</si>
  <si>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</si>
  <si>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</si>
  <si>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</si>
  <si>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</si>
  <si>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</si>
  <si>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</si>
  <si>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</si>
  <si>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</si>
  <si>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</si>
  <si>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</si>
  <si>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</si>
  <si>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</si>
  <si>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</si>
  <si>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</si>
  <si>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</si>
  <si>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</si>
  <si>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</si>
  <si>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</si>
  <si>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</si>
  <si>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</si>
  <si>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</si>
  <si>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</si>
  <si>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</si>
  <si>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</si>
  <si>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</si>
  <si>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</si>
  <si>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</si>
  <si>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</si>
  <si>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</si>
  <si>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</si>
  <si>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</si>
  <si>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</si>
  <si>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</si>
  <si>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</si>
  <si>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</si>
  <si>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</si>
  <si>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</si>
  <si>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</si>
  <si>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</si>
  <si>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</si>
  <si>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</si>
  <si>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</si>
  <si>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</si>
  <si>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</si>
  <si>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</si>
  <si>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</si>
  <si>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</si>
  <si>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</si>
  <si>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</si>
  <si>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</si>
  <si>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</si>
  <si>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</si>
  <si>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</si>
  <si>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</si>
  <si>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</si>
  <si>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</si>
  <si>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</si>
  <si>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</si>
  <si>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</si>
  <si>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</si>
  <si>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</si>
  <si>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</si>
  <si>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</si>
  <si>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</si>
  <si>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</si>
  <si>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</si>
  <si>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</si>
  <si>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</si>
  <si>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</si>
  <si>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</si>
  <si>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</si>
  <si>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</si>
  <si>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</si>
  <si>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</si>
  <si>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</si>
  <si>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</si>
  <si>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</si>
  <si>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</si>
  <si>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</si>
  <si>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</si>
  <si>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</si>
  <si>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</si>
  <si>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</si>
  <si>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</si>
  <si>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</si>
  <si>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</si>
  <si>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</si>
  <si>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</si>
  <si>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</si>
  <si>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</si>
  <si>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</si>
  <si>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</si>
  <si>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</si>
  <si>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</si>
  <si>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</si>
  <si>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</si>
  <si>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</si>
  <si>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</si>
  <si>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</si>
  <si>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</si>
  <si>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</si>
  <si>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</si>
  <si>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</si>
  <si>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</si>
  <si>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</si>
  <si>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</si>
  <si>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</si>
  <si>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</si>
  <si>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</si>
  <si>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</si>
  <si>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</si>
  <si>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</si>
  <si>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</si>
  <si>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</si>
  <si>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</si>
  <si>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</si>
  <si>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</si>
  <si>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</si>
  <si>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</si>
  <si>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</si>
  <si>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</si>
  <si>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</si>
  <si>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</si>
  <si>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</si>
  <si>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</si>
  <si>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</si>
  <si>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</si>
  <si>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</si>
  <si>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</si>
  <si>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</si>
  <si>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</si>
  <si>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</si>
  <si>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</si>
  <si>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</si>
  <si>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</si>
  <si>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</si>
  <si>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</si>
  <si>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</si>
  <si>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</si>
  <si>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</si>
  <si>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</si>
  <si>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</si>
  <si>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</si>
  <si>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</si>
  <si>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</si>
  <si>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</si>
  <si>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</si>
  <si>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</si>
  <si>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</si>
  <si>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</si>
  <si>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</si>
  <si>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</si>
  <si>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</si>
  <si>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</si>
  <si>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</si>
  <si>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</si>
  <si>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</si>
  <si>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</si>
  <si>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</si>
  <si>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</si>
  <si>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</si>
  <si>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</si>
  <si>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</si>
  <si>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</si>
  <si>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</si>
  <si>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</si>
  <si>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</si>
  <si>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</si>
  <si>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</si>
  <si>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</si>
  <si>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</si>
  <si>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</si>
  <si>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</si>
  <si>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</si>
  <si>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</si>
  <si>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</si>
  <si>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</si>
  <si>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</si>
  <si>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</si>
  <si>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</si>
  <si>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</si>
  <si>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</si>
  <si>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</si>
  <si>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</si>
  <si>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</si>
  <si>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</si>
  <si>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</si>
  <si>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</si>
  <si>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</si>
  <si>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</si>
  <si>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</si>
  <si>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</si>
  <si>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</si>
  <si>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</si>
  <si>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</si>
  <si>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</si>
  <si>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</si>
  <si>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</si>
  <si>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</si>
  <si>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</si>
  <si>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</si>
  <si>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</si>
  <si>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</si>
  <si>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</si>
  <si>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</si>
  <si>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</si>
  <si>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</si>
  <si>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</si>
  <si>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</si>
  <si>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</si>
  <si>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Parent Cateory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</si>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</sst>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8" xfId="0" applyBorder="1"/>
    <xf numFmtId="9" fontId="0" fillId="0" borderId="3" xfId="1" applyFont="1" applyBorder="1"/>
    <xf numFmtId="0" fontId="1" fillId="0" borderId="7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20000"/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1-June 11.xlsx]Pivot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3-49C8-92CD-35EE8A4F4AA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3-49C8-92CD-35EE8A4F4AA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3-49C8-92CD-35EE8A4F4AA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F3-49C8-92CD-35EE8A4F4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215200"/>
        <c:axId val="653921232"/>
      </c:barChart>
      <c:catAx>
        <c:axId val="57121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21232"/>
        <c:crosses val="autoZero"/>
        <c:auto val="1"/>
        <c:lblAlgn val="ctr"/>
        <c:lblOffset val="100"/>
        <c:noMultiLvlLbl val="0"/>
      </c:catAx>
      <c:valAx>
        <c:axId val="6539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1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1-June 11.xlsx]Pivot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B-40CE-A261-9C0AFBA7EC8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B-40CE-A261-9C0AFBA7EC8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FB-40CE-A261-9C0AFBA7EC8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FB-40CE-A261-9C0AFBA7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570672"/>
        <c:axId val="574565752"/>
      </c:barChart>
      <c:catAx>
        <c:axId val="57457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65752"/>
        <c:crosses val="autoZero"/>
        <c:auto val="1"/>
        <c:lblAlgn val="ctr"/>
        <c:lblOffset val="100"/>
        <c:noMultiLvlLbl val="0"/>
      </c:catAx>
      <c:valAx>
        <c:axId val="57456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7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1-June 11.xlsx]Pivot 3!PivotTable1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8-43BC-B058-60F323D2446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8-43BC-B058-60F323D2446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8-43BC-B058-60F323D24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692248"/>
        <c:axId val="627690936"/>
      </c:lineChart>
      <c:catAx>
        <c:axId val="62769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90936"/>
        <c:crosses val="autoZero"/>
        <c:auto val="1"/>
        <c:lblAlgn val="ctr"/>
        <c:lblOffset val="100"/>
        <c:noMultiLvlLbl val="0"/>
      </c:catAx>
      <c:valAx>
        <c:axId val="62769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154736"/>
        <c:axId val="442152112"/>
      </c:barChart>
      <c:catAx>
        <c:axId val="4421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52112"/>
        <c:crosses val="autoZero"/>
        <c:auto val="1"/>
        <c:lblAlgn val="ctr"/>
        <c:lblOffset val="100"/>
        <c:noMultiLvlLbl val="0"/>
      </c:catAx>
      <c:valAx>
        <c:axId val="4421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C-4789-B297-77B175D3C988}"/>
            </c:ext>
          </c:extLst>
        </c:ser>
        <c:ser>
          <c:idx val="1"/>
          <c:order val="1"/>
          <c:tx>
            <c:strRef>
              <c:f>'Bonus -Outcome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7C-4789-B297-77B175D3C988}"/>
            </c:ext>
          </c:extLst>
        </c:ser>
        <c:ser>
          <c:idx val="2"/>
          <c:order val="2"/>
          <c:tx>
            <c:strRef>
              <c:f>'Bonus -Outcome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7C-4789-B297-77B175D3C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875792"/>
        <c:axId val="597876776"/>
      </c:lineChart>
      <c:catAx>
        <c:axId val="5978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76776"/>
        <c:crosses val="autoZero"/>
        <c:auto val="1"/>
        <c:lblAlgn val="ctr"/>
        <c:lblOffset val="100"/>
        <c:noMultiLvlLbl val="0"/>
      </c:catAx>
      <c:valAx>
        <c:axId val="59787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1</xdr:row>
      <xdr:rowOff>179070</xdr:rowOff>
    </xdr:from>
    <xdr:to>
      <xdr:col>14</xdr:col>
      <xdr:colOff>15240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E869C-5FC9-4CED-8DB7-9B718AC15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4</xdr:row>
      <xdr:rowOff>95250</xdr:rowOff>
    </xdr:from>
    <xdr:to>
      <xdr:col>15</xdr:col>
      <xdr:colOff>476250</xdr:colOff>
      <xdr:row>32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1EE62-86D4-4A62-B792-89EEEAEB2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1</xdr:row>
      <xdr:rowOff>85724</xdr:rowOff>
    </xdr:from>
    <xdr:to>
      <xdr:col>14</xdr:col>
      <xdr:colOff>606662</xdr:colOff>
      <xdr:row>22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F6AB1-E9AB-40F9-84E4-A85A48B3A78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388620</xdr:colOff>
      <xdr:row>86</xdr:row>
      <xdr:rowOff>70485</xdr:rowOff>
    </xdr:from>
    <xdr:to>
      <xdr:col>17</xdr:col>
      <xdr:colOff>480060</xdr:colOff>
      <xdr:row>101</xdr:row>
      <xdr:rowOff>70485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73C69-BF75-41C4-86F9-64C29098D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20411</xdr:colOff>
      <xdr:row>14</xdr:row>
      <xdr:rowOff>8709</xdr:rowOff>
    </xdr:from>
    <xdr:to>
      <xdr:col>7</xdr:col>
      <xdr:colOff>1337468</xdr:colOff>
      <xdr:row>48</xdr:row>
      <xdr:rowOff>6804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34F86-5355-4BE5-BF0E-ABF08763A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a Sorrelli" refreshedDate="43258.992997222223" createdVersion="6" refreshedVersion="6" minRefreshableVersion="3" recordCount="4115" xr:uid="{36CF14A3-BAEB-4380-BF41-38670B2BA3DD}">
  <cacheSource type="worksheet">
    <worksheetSource ref="A1:R1048576" sheet="Data Sourc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a Sorrelli" refreshedDate="43259.110448842592" createdVersion="6" refreshedVersion="6" minRefreshableVersion="3" recordCount="4115" xr:uid="{EB7EB548-EC14-42A8-A20E-660F4A333EEC}">
  <cacheSource type="worksheet">
    <worksheetSource ref="A1:T1048576" sheet="Data Sourc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Parent Cate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65CB8-7E62-48EA-B8CF-A339CEC60F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9694F-8FF6-4ED1-8D66-6138CD26F5D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76517-D542-435D-AE00-811CA2D7E2A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pane ySplit="1" topLeftCell="A513" activePane="bottomLeft" state="frozen"/>
      <selection pane="bottomLeft" sqref="A1:XFD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12.68359375" customWidth="1"/>
    <col min="7" max="7" width="9.47265625" customWidth="1"/>
    <col min="8" max="8" width="10.89453125" customWidth="1"/>
    <col min="9" max="9" width="13.83984375" customWidth="1"/>
    <col min="10" max="10" width="17.83984375" customWidth="1"/>
    <col min="11" max="11" width="15.41796875" customWidth="1"/>
    <col min="12" max="13" width="15.15625" customWidth="1"/>
    <col min="14" max="14" width="28.89453125" customWidth="1"/>
    <col min="15" max="15" width="13.3125" style="5" customWidth="1"/>
    <col min="16" max="16" width="18" style="9" customWidth="1"/>
    <col min="17" max="17" width="19.41796875" customWidth="1"/>
    <col min="18" max="18" width="17.1015625" customWidth="1"/>
    <col min="19" max="19" width="25.68359375" customWidth="1"/>
    <col min="20" max="20" width="22.8398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8366</v>
      </c>
      <c r="R1" s="1" t="s">
        <v>8309</v>
      </c>
      <c r="S1" s="1" t="s">
        <v>8367</v>
      </c>
      <c r="T1" s="1" t="s">
        <v>8368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(pledged/goal)*100</f>
        <v>136.85882352941178</v>
      </c>
      <c r="P2" s="9">
        <f t="shared" ref="P2:P65" si="1">IF(backers_count=0, 0, pledged/backers_count)</f>
        <v>63.917582417582416</v>
      </c>
      <c r="Q2" t="str">
        <f>LEFT(N:N,(FIND("/",N2))-1)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9">
        <f t="shared" si="1"/>
        <v>185.48101265822785</v>
      </c>
      <c r="Q3" t="str">
        <f t="shared" ref="Q3:Q66" si="2">LEFT(N:N,(FIND("/",N3))-1)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(pledged/goal)*100</f>
        <v>173.33333333333334</v>
      </c>
      <c r="P66" s="9">
        <f t="shared" ref="P66:P129" si="7">IF(backers_count=0, 0, pledged/backers_count)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 s="9">
        <f t="shared" si="7"/>
        <v>132.05263157894737</v>
      </c>
      <c r="Q67" t="str">
        <f t="shared" ref="Q67:Q130" si="8">LEFT(N:N,(FIND("/",N67))-1)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(pledged/goal)*100</f>
        <v>1.867</v>
      </c>
      <c r="P130" s="9">
        <f t="shared" ref="P130:P193" si="13">IF(backers_count=0, 0, pledged/backers_count)</f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9">
        <f t="shared" si="13"/>
        <v>0</v>
      </c>
      <c r="Q131" t="str">
        <f t="shared" ref="Q131:Q194" si="14">LEFT(N:N,(FIND("/",N131))-1)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(pledged/goal)*100</f>
        <v>1.6999999999999999E-3</v>
      </c>
      <c r="P194" s="9">
        <f t="shared" ref="P194:P257" si="19">IF(backers_count=0, 0, pledged/backers_count)</f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9">
        <f t="shared" si="19"/>
        <v>0</v>
      </c>
      <c r="Q195" t="str">
        <f t="shared" ref="Q195:Q258" si="20">LEFT(N:N,(FIND("/",N195))-1)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(pledged/goal)*100</f>
        <v>139.1</v>
      </c>
      <c r="P258" s="9">
        <f t="shared" ref="P258:P321" si="25">IF(backers_count=0, 0, pledged/backers_count)</f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 s="9">
        <f t="shared" si="25"/>
        <v>66.70405357142856</v>
      </c>
      <c r="Q259" t="str">
        <f t="shared" ref="Q259:Q322" si="26">LEFT(N:N,(FIND("/",N259))-1)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(pledged/goal)*100</f>
        <v>106.58000000000001</v>
      </c>
      <c r="P322" s="9">
        <f t="shared" ref="P322:P385" si="31">IF(backers_count=0, 0, pledged/backers_count)</f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 s="9">
        <f t="shared" si="31"/>
        <v>106.62314540059347</v>
      </c>
      <c r="Q323" t="str">
        <f t="shared" ref="Q323:Q386" si="32">LEFT(N:N,(FIND("/",N323))-1)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(pledged/goal)*100</f>
        <v>112.105</v>
      </c>
      <c r="P386" s="9">
        <f t="shared" ref="P386:P449" si="37">IF(backers_count=0, 0, pledged/backers_count)</f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 s="9">
        <f t="shared" si="37"/>
        <v>111.79535864978902</v>
      </c>
      <c r="Q387" t="str">
        <f t="shared" ref="Q387:Q450" si="38">LEFT(N:N,(FIND("/",N387))-1)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(pledged/goal)*100</f>
        <v>3.2804000000000002</v>
      </c>
      <c r="P450" s="9">
        <f t="shared" ref="P450:P513" si="43">IF(backers_count=0, 0, pledged/backers_count)</f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 s="9">
        <f t="shared" si="43"/>
        <v>9</v>
      </c>
      <c r="Q451" t="str">
        <f t="shared" ref="Q451:Q514" si="44">LEFT(N:N,(FIND("/",N451))-1)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(pledged/goal)*100</f>
        <v>0.13749999999999998</v>
      </c>
      <c r="P514" s="9">
        <f t="shared" ref="P514:P577" si="49">IF(backers_count=0, 0, pledged/backers_count)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 s="9">
        <f t="shared" si="49"/>
        <v>102.38235294117646</v>
      </c>
      <c r="Q515" t="str">
        <f t="shared" ref="Q515:Q578" si="50">LEFT(N:N,(FIND("/",N515))-1)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(pledged/goal)*100</f>
        <v>1.25E-3</v>
      </c>
      <c r="P578" s="9">
        <f t="shared" ref="P578:P641" si="55">IF(backers_count=0, 0, pledged/backers_count)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 s="9">
        <f t="shared" si="55"/>
        <v>10</v>
      </c>
      <c r="Q579" t="str">
        <f t="shared" ref="Q579:Q642" si="56">LEFT(N:N,(FIND("/",N579))-1)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(pledged/goal)*100</f>
        <v>144.28571428571428</v>
      </c>
      <c r="P642" s="9">
        <f t="shared" ref="P642:P705" si="61">IF(backers_count=0, 0, pledged/backers_count)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 s="9">
        <f t="shared" si="61"/>
        <v>151.31746031746033</v>
      </c>
      <c r="Q643" t="str">
        <f t="shared" ref="Q643:Q706" si="62">LEFT(N:N,(FIND("/",N643))-1)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(pledged/goal)*100</f>
        <v>0.87454545454545463</v>
      </c>
      <c r="P706" s="9">
        <f t="shared" ref="P706:P769" si="67">IF(backers_count=0, 0, pledged/backers_count)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 s="9">
        <f t="shared" si="67"/>
        <v>195.4</v>
      </c>
      <c r="Q707" t="str">
        <f t="shared" ref="Q707:Q770" si="68">LEFT(N:N,(FIND("/",N707))-1)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(pledged/goal)*100</f>
        <v>0</v>
      </c>
      <c r="P770" s="9">
        <f t="shared" ref="P770:P833" si="73">IF(backers_count=0, 0, pledged/backers_count)</f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 s="9">
        <f t="shared" si="73"/>
        <v>31.846153846153847</v>
      </c>
      <c r="Q771" t="str">
        <f t="shared" ref="Q771:Q834" si="74">LEFT(N:N,(FIND("/",N771))-1)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(pledged/goal)*100</f>
        <v>100.60706666666665</v>
      </c>
      <c r="P834" s="9">
        <f t="shared" ref="P834:P897" si="79">IF(backers_count=0, 0, pledged/backers_count)</f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 s="9">
        <f t="shared" si="79"/>
        <v>148.78048780487805</v>
      </c>
      <c r="Q835" t="str">
        <f t="shared" ref="Q835:Q898" si="80">LEFT(N:N,(FIND("/",N835))-1)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(pledged/goal)*100</f>
        <v>40</v>
      </c>
      <c r="P898" s="9">
        <f t="shared" ref="P898:P961" si="85">IF(backers_count=0, 0, pledged/backers_count)</f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9">
        <f t="shared" si="85"/>
        <v>0</v>
      </c>
      <c r="Q899" t="str">
        <f t="shared" ref="Q899:Q962" si="86">LEFT(N:N,(FIND("/",N899))-1)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(pledged/goal)*100</f>
        <v>46.100628930817614</v>
      </c>
      <c r="P962" s="9">
        <f t="shared" ref="P962:P1025" si="91">IF(backers_count=0, 0, pledged/backers_count)</f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 s="9">
        <f t="shared" si="91"/>
        <v>364.35454545454547</v>
      </c>
      <c r="Q963" t="str">
        <f t="shared" ref="Q963:Q1026" si="92">LEFT(N:N,(FIND("/",N963))-1)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(pledged/goal)*100</f>
        <v>118.63774999999998</v>
      </c>
      <c r="P1026" s="9">
        <f t="shared" ref="P1026:P1089" si="97">IF(backers_count=0, 0, pledged/backers_count)</f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 s="9">
        <f t="shared" si="97"/>
        <v>71.848571428571432</v>
      </c>
      <c r="Q1027" t="str">
        <f t="shared" ref="Q1027:Q1090" si="98">LEFT(N:N,(FIND("/",N1027))-1)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(pledged/goal)*100</f>
        <v>14.182977777777777</v>
      </c>
      <c r="P1090" s="9">
        <f t="shared" ref="P1090:P1153" si="103">IF(backers_count=0, 0, pledged/backers_count)</f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 s="9">
        <f t="shared" si="103"/>
        <v>23.959183673469386</v>
      </c>
      <c r="Q1091" t="str">
        <f t="shared" ref="Q1091:Q1154" si="104">LEFT(N:N,(FIND("/",N1091))-1)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(pledged/goal)*100</f>
        <v>5.6937500000000005</v>
      </c>
      <c r="P1154" s="9">
        <f t="shared" ref="P1154:P1217" si="109">IF(backers_count=0, 0, pledged/backers_count)</f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 s="9">
        <f t="shared" si="109"/>
        <v>50</v>
      </c>
      <c r="Q1155" t="str">
        <f t="shared" ref="Q1155:Q1218" si="110">LEFT(N:N,(FIND("/",N1155))-1)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(pledged/goal)*100</f>
        <v>145.70000000000002</v>
      </c>
      <c r="P1218" s="9">
        <f t="shared" ref="P1218:P1281" si="115">IF(backers_count=0, 0, pledged/backers_count)</f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 s="9">
        <f t="shared" si="115"/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(pledged/goal)*100</f>
        <v>110.91186666666665</v>
      </c>
      <c r="P1282" s="9">
        <f t="shared" ref="P1282:P1345" si="121">IF(backers_count=0, 0, pledged/backers_count)</f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 s="9">
        <f t="shared" si="121"/>
        <v>104.72972972972973</v>
      </c>
      <c r="Q1283" t="str">
        <f t="shared" ref="Q1283:Q1346" si="122">LEFT(N:N,(FIND("/",N1283))-1)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(pledged/goal)*100</f>
        <v>377.73333333333335</v>
      </c>
      <c r="P1346" s="9">
        <f t="shared" ref="P1346:P1409" si="127">IF(backers_count=0, 0, pledged/backers_count)</f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 s="9">
        <f t="shared" si="127"/>
        <v>53.571428571428569</v>
      </c>
      <c r="Q1347" t="str">
        <f t="shared" ref="Q1347:Q1410" si="128">LEFT(N:N,(FIND("/",N1347))-1)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(pledged/goal)*100</f>
        <v>7.1999999999999993</v>
      </c>
      <c r="P1410" s="9">
        <f t="shared" ref="P1410:P1473" si="133">IF(backers_count=0, 0, pledged/backers_count)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9">
        <f t="shared" si="133"/>
        <v>0</v>
      </c>
      <c r="Q1411" t="str">
        <f t="shared" ref="Q1411:Q1474" si="134">LEFT(N:N,(FIND("/",N1411))-1)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(pledged/goal)*100</f>
        <v>138.70400000000001</v>
      </c>
      <c r="P1474" s="9">
        <f t="shared" ref="P1474:P1537" si="139">IF(backers_count=0, 0, pledged/backers_count)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 s="9">
        <f t="shared" si="139"/>
        <v>38.462553191489363</v>
      </c>
      <c r="Q1475" t="str">
        <f t="shared" ref="Q1475:Q1538" si="140">LEFT(N:N,(FIND("/",N1475))-1)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(pledged/goal)*100</f>
        <v>250.30841666666666</v>
      </c>
      <c r="P1538" s="9">
        <f t="shared" ref="P1538:P1601" si="145">IF(backers_count=0, 0, pledged/backers_count)</f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 s="9">
        <f t="shared" si="145"/>
        <v>96.375</v>
      </c>
      <c r="Q1539" t="str">
        <f t="shared" ref="Q1539:Q1602" si="146">LEFT(N:N,(FIND("/",N1539))-1)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(pledged/goal)*100</f>
        <v>7.3400000000000007</v>
      </c>
      <c r="P1602" s="9">
        <f t="shared" ref="P1602:P1665" si="151">IF(backers_count=0, 0, pledged/backers_count)</f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 s="9">
        <f t="shared" si="151"/>
        <v>48.325535714285714</v>
      </c>
      <c r="Q1603" t="str">
        <f t="shared" ref="Q1603:Q1666" si="152">LEFT(N:N,(FIND("/",N1603))-1)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(pledged/goal)*100</f>
        <v>122.40879999999999</v>
      </c>
      <c r="P1666" s="9">
        <f t="shared" ref="P1666:P1729" si="157">IF(backers_count=0, 0, pledged/backers_count)</f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 s="9">
        <f t="shared" si="157"/>
        <v>44.956989247311824</v>
      </c>
      <c r="Q1667" t="str">
        <f t="shared" ref="Q1667:Q1730" si="158">LEFT(N:N,(FIND("/",N1667))-1)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(pledged/goal)*100</f>
        <v>68.400000000000006</v>
      </c>
      <c r="P1730" s="9">
        <f t="shared" ref="P1730:P1793" si="163">IF(backers_count=0, 0, pledged/backers_count)</f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9">
        <f t="shared" si="163"/>
        <v>0</v>
      </c>
      <c r="Q1731" t="str">
        <f t="shared" ref="Q1731:Q1794" si="164">LEFT(N:N,(FIND("/",N1731))-1)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(pledged/goal)*100</f>
        <v>61.124000000000002</v>
      </c>
      <c r="P1794" s="9">
        <f t="shared" ref="P1794:P1857" si="169">IF(backers_count=0, 0, pledged/backers_count)</f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 s="9">
        <f t="shared" si="169"/>
        <v>20</v>
      </c>
      <c r="Q1795" t="str">
        <f t="shared" ref="Q1795:Q1858" si="170">LEFT(N:N,(FIND("/",N1795))-1)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(pledged/goal)*100</f>
        <v>101.25</v>
      </c>
      <c r="P1858" s="9">
        <f t="shared" ref="P1858:P1921" si="175">IF(backers_count=0, 0, pledged/backers_count)</f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 s="9">
        <f t="shared" si="175"/>
        <v>136.36363636363637</v>
      </c>
      <c r="Q1859" t="str">
        <f t="shared" ref="Q1859:Q1922" si="176">LEFT(N:N,(FIND("/",N1859))-1)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(pledged/goal)*100</f>
        <v>43.03</v>
      </c>
      <c r="P1922" s="9">
        <f t="shared" ref="P1922:P1985" si="181">IF(backers_count=0, 0, pledged/backers_count)</f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 s="9">
        <f t="shared" si="181"/>
        <v>54</v>
      </c>
      <c r="Q1923" t="str">
        <f t="shared" ref="Q1923:Q1986" si="182">LEFT(N:N,(FIND("/",N1923))-1)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(pledged/goal)*100</f>
        <v>21.146666666666665</v>
      </c>
      <c r="P1986" s="9">
        <f t="shared" ref="P1986:P2049" si="187">IF(backers_count=0, 0, pledged/backers_count)</f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 s="9">
        <f t="shared" si="187"/>
        <v>12.75</v>
      </c>
      <c r="Q1987" t="str">
        <f t="shared" ref="Q1987:Q2050" si="188">LEFT(N:N,(FIND("/",N1987))-1)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(pledged/goal)*100</f>
        <v>148.33229411764705</v>
      </c>
      <c r="P2050" s="9">
        <f t="shared" ref="P2050:P2113" si="193">IF(backers_count=0, 0, pledged/backers_count)</f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 s="9">
        <f t="shared" si="193"/>
        <v>80.991037735849048</v>
      </c>
      <c r="Q2051" t="str">
        <f t="shared" ref="Q2051:Q2114" si="194">LEFT(N:N,(FIND("/",N2051))-1)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(pledged/goal)*100</f>
        <v>100</v>
      </c>
      <c r="P2114" s="9">
        <f t="shared" ref="P2114:P2177" si="199">IF(backers_count=0, 0, pledged/backers_count)</f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 s="9">
        <f t="shared" si="199"/>
        <v>68.598130841121488</v>
      </c>
      <c r="Q2115" t="str">
        <f t="shared" ref="Q2115:Q2178" si="200">LEFT(N:N,(FIND("/",N2115))-1)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(pledged/goal)*100</f>
        <v>126.02</v>
      </c>
      <c r="P2178" s="9">
        <f t="shared" ref="P2178:P2241" si="205">IF(backers_count=0, 0, pledged/backers_count)</f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 s="9">
        <f t="shared" si="205"/>
        <v>65.868421052631575</v>
      </c>
      <c r="Q2179" t="str">
        <f t="shared" ref="Q2179:Q2242" si="206">LEFT(N:N,(FIND("/",N2179))-1)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(pledged/goal)*100</f>
        <v>270.68</v>
      </c>
      <c r="P2242" s="9">
        <f t="shared" ref="P2242:P2305" si="211">IF(backers_count=0, 0, pledged/backers_count)</f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 s="9">
        <f t="shared" si="211"/>
        <v>49.472392638036808</v>
      </c>
      <c r="Q2243" t="str">
        <f t="shared" ref="Q2243:Q2306" si="212">LEFT(N:N,(FIND("/",N2243))-1)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(pledged/goal)*100</f>
        <v>100.70033333333335</v>
      </c>
      <c r="P2306" s="9">
        <f t="shared" ref="P2306:P2369" si="217">IF(backers_count=0, 0, pledged/backers_count)</f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 s="9">
        <f t="shared" si="217"/>
        <v>109.10778443113773</v>
      </c>
      <c r="Q2307" t="str">
        <f t="shared" ref="Q2307:Q2370" si="218">LEFT(N:N,(FIND("/",N2307))-1)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(pledged/goal)*100</f>
        <v>0.25</v>
      </c>
      <c r="P2370" s="9">
        <f t="shared" ref="P2370:P2433" si="223">IF(backers_count=0, 0, pledged/backers_count)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9">
        <f t="shared" si="223"/>
        <v>0</v>
      </c>
      <c r="Q2371" t="str">
        <f t="shared" ref="Q2371:Q2434" si="224">LEFT(N:N,(FIND("/",N2371))-1)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(pledged/goal)*100</f>
        <v>1.4285714285714287E-2</v>
      </c>
      <c r="P2434" s="9">
        <f t="shared" ref="P2434:P2497" si="229">IF(backers_count=0, 0, pledged/backers_count)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9">
        <f t="shared" si="229"/>
        <v>0</v>
      </c>
      <c r="Q2435" t="str">
        <f t="shared" ref="Q2435:Q2498" si="230">LEFT(N:N,(FIND("/",N2435))-1)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(pledged/goal)*100</f>
        <v>100</v>
      </c>
      <c r="P2498" s="9">
        <f t="shared" ref="P2498:P2561" si="235">IF(backers_count=0, 0, pledged/backers_count)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 s="9">
        <f t="shared" si="235"/>
        <v>80.551071428571419</v>
      </c>
      <c r="Q2499" t="str">
        <f t="shared" ref="Q2499:Q2562" si="236">LEFT(N:N,(FIND("/",N2499))-1)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(pledged/goal)*100</f>
        <v>100.1</v>
      </c>
      <c r="P2562" s="9">
        <f t="shared" ref="P2562:P2625" si="241">IF(backers_count=0, 0, pledged/backers_count)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9">
        <f t="shared" si="241"/>
        <v>0</v>
      </c>
      <c r="Q2563" t="str">
        <f t="shared" ref="Q2563:Q2626" si="242">LEFT(N:N,(FIND("/",N2563))-1)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(pledged/goal)*100</f>
        <v>1379.4206249999997</v>
      </c>
      <c r="P2626" s="9">
        <f t="shared" ref="P2626:P2689" si="247">IF(backers_count=0, 0, pledged/backers_count)</f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 s="9">
        <f t="shared" si="247"/>
        <v>27.576923076923077</v>
      </c>
      <c r="Q2627" t="str">
        <f t="shared" ref="Q2627:Q2690" si="248">LEFT(N:N,(FIND("/",N2627))-1)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(pledged/goal)*100</f>
        <v>0.14799999999999999</v>
      </c>
      <c r="P2690" s="9">
        <f t="shared" ref="P2690:P2753" si="253">IF(backers_count=0, 0, pledged/backers_count)</f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 s="9">
        <f t="shared" si="253"/>
        <v>1</v>
      </c>
      <c r="Q2691" t="str">
        <f t="shared" ref="Q2691:Q2754" si="254">LEFT(N:N,(FIND("/",N2691))-1)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(pledged/goal)*100</f>
        <v>11.458333333333332</v>
      </c>
      <c r="P2754" s="9">
        <f t="shared" ref="P2754:P2817" si="259">IF(backers_count=0, 0, pledged/backers_count)</f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 s="9">
        <f t="shared" si="259"/>
        <v>47.5</v>
      </c>
      <c r="Q2755" t="str">
        <f t="shared" ref="Q2755:Q2818" si="260">LEFT(N:N,(FIND("/",N2755))-1)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(pledged/goal)*100</f>
        <v>141.56666666666666</v>
      </c>
      <c r="P2818" s="9">
        <f t="shared" ref="P2818:P2881" si="265">IF(backers_count=0, 0, pledged/backers_count)</f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 s="9">
        <f t="shared" si="265"/>
        <v>23.636363636363637</v>
      </c>
      <c r="Q2819" t="str">
        <f t="shared" ref="Q2819:Q2882" si="266">LEFT(N:N,(FIND("/",N2819))-1)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(pledged/goal)*100</f>
        <v>23.333333333333332</v>
      </c>
      <c r="P2882" s="9">
        <f t="shared" ref="P2882:P2945" si="271">IF(backers_count=0, 0, pledged/backers_count)</f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9">
        <f t="shared" si="271"/>
        <v>0</v>
      </c>
      <c r="Q2883" t="str">
        <f t="shared" ref="Q2883:Q2946" si="272">LEFT(N:N,(FIND("/",N2883))-1)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(pledged/goal)*100</f>
        <v>1</v>
      </c>
      <c r="P2946" s="9">
        <f t="shared" ref="P2946:P3009" si="277">IF(backers_count=0, 0, pledged/backers_count)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9">
        <f t="shared" si="277"/>
        <v>0</v>
      </c>
      <c r="Q2947" t="str">
        <f t="shared" ref="Q2947:Q3010" si="278">LEFT(N:N,(FIND("/",N2947))-1)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(pledged/goal)*100</f>
        <v>101.16666666666667</v>
      </c>
      <c r="P3010" s="9">
        <f t="shared" ref="P3010:P3073" si="283">IF(backers_count=0, 0, pledged/backers_count)</f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 s="9">
        <f t="shared" si="283"/>
        <v>233.8984375</v>
      </c>
      <c r="Q3011" t="str">
        <f t="shared" ref="Q3011:Q3074" si="284">LEFT(N:N,(FIND("/",N3011))-1)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(pledged/goal)*100</f>
        <v>1.6666666666666666E-2</v>
      </c>
      <c r="P3074" s="9">
        <f t="shared" ref="P3074:P3137" si="289">IF(backers_count=0, 0, pledged/backers_count)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 s="9">
        <f t="shared" si="289"/>
        <v>92.142857142857139</v>
      </c>
      <c r="Q3075" t="str">
        <f t="shared" ref="Q3075:Q3138" si="290">LEFT(N:N,(FIND("/",N3075))-1)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(pledged/goal)*100</f>
        <v>127.8</v>
      </c>
      <c r="P3138" s="9">
        <f t="shared" ref="P3138:P3201" si="295">IF(backers_count=0, 0, pledged/backers_count)</f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 s="9">
        <f t="shared" si="295"/>
        <v>50</v>
      </c>
      <c r="Q3139" t="str">
        <f t="shared" ref="Q3139:Q3202" si="296">LEFT(N:N,(FIND("/",N3139))-1)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(pledged/goal)*100</f>
        <v>2E-3</v>
      </c>
      <c r="P3202" s="9">
        <f t="shared" ref="P3202:P3265" si="301">IF(backers_count=0, 0, pledged/backers_count)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 s="9">
        <f t="shared" si="301"/>
        <v>12.5</v>
      </c>
      <c r="Q3203" t="str">
        <f t="shared" ref="Q3203:Q3266" si="302">LEFT(N:N,(FIND("/",N3203))-1)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(pledged/goal)*100</f>
        <v>103</v>
      </c>
      <c r="P3266" s="9">
        <f t="shared" ref="P3266:P3329" si="307">IF(backers_count=0, 0, pledged/backers_count)</f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 s="9">
        <f t="shared" si="307"/>
        <v>70.285714285714292</v>
      </c>
      <c r="Q3267" t="str">
        <f t="shared" ref="Q3267:Q3330" si="308">LEFT(N:N,(FIND("/",N3267))-1)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(pledged/goal)*100</f>
        <v>146.38888888888889</v>
      </c>
      <c r="P3330" s="9">
        <f t="shared" ref="P3330:P3393" si="313">IF(backers_count=0, 0, pledged/backers_count)</f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 s="9">
        <f t="shared" si="313"/>
        <v>44.92307692307692</v>
      </c>
      <c r="Q3331" t="str">
        <f t="shared" ref="Q3331:Q3394" si="314">LEFT(N:N,(FIND("/",N3331))-1)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(pledged/goal)*100</f>
        <v>100</v>
      </c>
      <c r="P3394" s="9">
        <f t="shared" ref="P3394:P3457" si="319">IF(backers_count=0, 0, pledged/backers_count)</f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 s="9">
        <f t="shared" si="319"/>
        <v>36.06818181818182</v>
      </c>
      <c r="Q3395" t="str">
        <f t="shared" ref="Q3395:Q3458" si="320">LEFT(N:N,(FIND("/",N3395))-1)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(pledged/goal)*100</f>
        <v>191.3</v>
      </c>
      <c r="P3458" s="9">
        <f t="shared" ref="P3458:P3521" si="325">IF(backers_count=0, 0, pledged/backers_count)</f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 s="9">
        <f t="shared" si="325"/>
        <v>50.981818181818184</v>
      </c>
      <c r="Q3459" t="str">
        <f t="shared" ref="Q3459:Q3522" si="326">LEFT(N:N,(FIND("/",N3459))-1)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(pledged/goal)*100</f>
        <v>100.75</v>
      </c>
      <c r="P3522" s="9">
        <f t="shared" ref="P3522:P3585" si="331">IF(backers_count=0, 0, pledged/backers_count)</f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 s="9">
        <f t="shared" si="331"/>
        <v>45.615384615384613</v>
      </c>
      <c r="Q3523" t="str">
        <f t="shared" ref="Q3523:Q3586" si="332">LEFT(N:N,(FIND("/",N3523))-1)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(pledged/goal)*100</f>
        <v>115.5</v>
      </c>
      <c r="P3586" s="9">
        <f t="shared" ref="P3586:P3649" si="337">IF(backers_count=0, 0, pledged/backers_count)</f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 s="9">
        <f t="shared" si="337"/>
        <v>176.08695652173913</v>
      </c>
      <c r="Q3587" t="str">
        <f t="shared" ref="Q3587:Q3650" si="338">LEFT(N:N,(FIND("/",N3587))-1)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(pledged/goal)*100</f>
        <v>100.38249999999999</v>
      </c>
      <c r="P3650" s="9">
        <f t="shared" ref="P3650:P3713" si="343">IF(backers_count=0, 0, pledged/backers_count)</f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 s="9">
        <f t="shared" si="343"/>
        <v>97.5</v>
      </c>
      <c r="Q3651" t="str">
        <f t="shared" ref="Q3651:Q3714" si="344">LEFT(N:N,(FIND("/",N3651))-1)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(pledged/goal)*100</f>
        <v>153.73333333333335</v>
      </c>
      <c r="P3714" s="9">
        <f t="shared" ref="P3714:P3777" si="349">IF(backers_count=0, 0, pledged/backers_count)</f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 s="9">
        <f t="shared" si="349"/>
        <v>106.84210526315789</v>
      </c>
      <c r="Q3715" t="str">
        <f t="shared" ref="Q3715:Q3778" si="350">LEFT(N:N,(FIND("/",N3715))-1)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(pledged/goal)*100</f>
        <v>106.71250000000001</v>
      </c>
      <c r="P3778" s="9">
        <f t="shared" ref="P3778:P3841" si="355">IF(backers_count=0, 0, pledged/backers_count)</f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 s="9">
        <f t="shared" si="355"/>
        <v>48.542372881355931</v>
      </c>
      <c r="Q3779" t="str">
        <f t="shared" ref="Q3779:Q3842" si="356">LEFT(N:N,(FIND("/",N3779))-1)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(pledged/goal)*100</f>
        <v>6500</v>
      </c>
      <c r="P3842" s="9">
        <f t="shared" ref="P3842:P3905" si="361">IF(backers_count=0, 0, pledged/backers_count)</f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 s="9">
        <f t="shared" si="361"/>
        <v>25.647058823529413</v>
      </c>
      <c r="Q3843" t="str">
        <f t="shared" ref="Q3843:Q3906" si="362">LEFT(N:N,(FIND("/",N3843))-1)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(pledged/goal)*100</f>
        <v>0.03</v>
      </c>
      <c r="P3906" s="9">
        <f t="shared" ref="P3906:P3969" si="367">IF(backers_count=0, 0, pledged/backers_count)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 s="9">
        <f t="shared" si="367"/>
        <v>24.714285714285715</v>
      </c>
      <c r="Q3907" t="str">
        <f t="shared" ref="Q3907:Q3970" si="368">LEFT(N:N,(FIND("/",N3907))-1)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(pledged/goal)*100</f>
        <v>10.54</v>
      </c>
      <c r="P3970" s="9">
        <f t="shared" ref="P3970:P4033" si="373">IF(backers_count=0, 0, pledged/backers_count)</f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 s="9">
        <f t="shared" si="373"/>
        <v>35.166666666666664</v>
      </c>
      <c r="Q3971" t="str">
        <f t="shared" ref="Q3971:Q4034" si="374">LEFT(N:N,(FIND("/",N3971))-1)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(pledged/goal)*100</f>
        <v>6.8287037037037033</v>
      </c>
      <c r="P4034" s="9">
        <f t="shared" ref="P4034:P4097" si="379">IF(backers_count=0, 0, pledged/backers_count)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 s="9">
        <f t="shared" si="379"/>
        <v>65.340319148936175</v>
      </c>
      <c r="Q4035" t="str">
        <f t="shared" ref="Q4035:Q4098" si="380">LEFT(N:N,(FIND("/",N4035))-1)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(pledged/goal)*100</f>
        <v>11.428571428571429</v>
      </c>
      <c r="P4098" s="9">
        <f t="shared" ref="P4098:P4115" si="385">IF(backers_count=0, 0, pledged/backers_count)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9">
        <f t="shared" si="385"/>
        <v>0</v>
      </c>
      <c r="Q4099" t="str">
        <f t="shared" ref="Q4099:Q4115" si="386">LEFT(N:N,(FIND("/",N4099))-1)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failed">
      <formula>NOT(ISERROR(SEARCH("failed",F1)))</formula>
    </cfRule>
    <cfRule type="containsText" dxfId="1" priority="12" operator="containsText" text="canceled">
      <formula>NOT(ISERROR(SEARCH("canceled",F1)))</formula>
    </cfRule>
    <cfRule type="containsText" dxfId="0" priority="13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92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9C933-637F-47F4-9A80-39A67EACCD97}">
  <dimension ref="A1:F14"/>
  <sheetViews>
    <sheetView workbookViewId="0">
      <selection activeCell="A3" activeCellId="1" sqref="A1:B1 A3:F14"/>
      <pivotSelection pane="bottomRight" showHeader="1" activeRow="2" click="1" r:id="rId1">
        <pivotArea type="all" dataOnly="0" outline="0" fieldPosition="0"/>
      </pivotSelection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7" width="10.20703125" bestFit="1" customWidth="1"/>
  </cols>
  <sheetData>
    <row r="1" spans="1:6" x14ac:dyDescent="0.55000000000000004">
      <c r="A1" s="10" t="s">
        <v>8223</v>
      </c>
      <c r="B1" t="s">
        <v>8323</v>
      </c>
    </row>
    <row r="3" spans="1:6" x14ac:dyDescent="0.55000000000000004">
      <c r="A3" s="10" t="s">
        <v>8322</v>
      </c>
      <c r="B3" s="10" t="s">
        <v>8312</v>
      </c>
    </row>
    <row r="4" spans="1:6" x14ac:dyDescent="0.55000000000000004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55000000000000004">
      <c r="A5" s="11" t="s">
        <v>8313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55000000000000004">
      <c r="A6" s="11" t="s">
        <v>8314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55000000000000004">
      <c r="A7" s="11" t="s">
        <v>8320</v>
      </c>
      <c r="B7" s="6">
        <v>80</v>
      </c>
      <c r="C7" s="6">
        <v>140</v>
      </c>
      <c r="D7" s="6"/>
      <c r="E7" s="6"/>
      <c r="F7" s="6">
        <v>220</v>
      </c>
    </row>
    <row r="8" spans="1:6" x14ac:dyDescent="0.55000000000000004">
      <c r="A8" s="11" t="s">
        <v>8315</v>
      </c>
      <c r="B8" s="6"/>
      <c r="C8" s="6"/>
      <c r="D8" s="6">
        <v>24</v>
      </c>
      <c r="E8" s="6"/>
      <c r="F8" s="6">
        <v>24</v>
      </c>
    </row>
    <row r="9" spans="1:6" x14ac:dyDescent="0.55000000000000004">
      <c r="A9" s="11" t="s">
        <v>8316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55000000000000004">
      <c r="A10" s="11" t="s">
        <v>8321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55000000000000004">
      <c r="A11" s="11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55000000000000004">
      <c r="A12" s="11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55000000000000004">
      <c r="A13" s="11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55000000000000004">
      <c r="A14" s="11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9BB-E88C-4FF3-B536-9B5E975DF25A}">
  <dimension ref="A1:F47"/>
  <sheetViews>
    <sheetView workbookViewId="0">
      <selection activeCell="F11" sqref="F11"/>
    </sheetView>
  </sheetViews>
  <sheetFormatPr defaultRowHeight="14.4" x14ac:dyDescent="0.55000000000000004"/>
  <cols>
    <col min="1" max="1" width="18.7343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7" width="10.20703125" bestFit="1" customWidth="1"/>
  </cols>
  <sheetData>
    <row r="1" spans="1:6" x14ac:dyDescent="0.55000000000000004">
      <c r="A1" s="10" t="s">
        <v>8223</v>
      </c>
      <c r="B1" t="s">
        <v>8323</v>
      </c>
    </row>
    <row r="2" spans="1:6" ht="14.1" customHeight="1" x14ac:dyDescent="0.55000000000000004">
      <c r="A2" s="10" t="s">
        <v>8308</v>
      </c>
      <c r="B2" t="s">
        <v>8323</v>
      </c>
    </row>
    <row r="4" spans="1:6" x14ac:dyDescent="0.55000000000000004">
      <c r="A4" s="10" t="s">
        <v>8365</v>
      </c>
      <c r="B4" s="10" t="s">
        <v>8312</v>
      </c>
    </row>
    <row r="5" spans="1:6" x14ac:dyDescent="0.55000000000000004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55000000000000004">
      <c r="A6" s="11" t="s">
        <v>8324</v>
      </c>
      <c r="B6" s="6"/>
      <c r="C6" s="6">
        <v>100</v>
      </c>
      <c r="D6" s="6"/>
      <c r="E6" s="6"/>
      <c r="F6" s="6">
        <v>100</v>
      </c>
    </row>
    <row r="7" spans="1:6" x14ac:dyDescent="0.55000000000000004">
      <c r="A7" s="11" t="s">
        <v>8325</v>
      </c>
      <c r="B7" s="6"/>
      <c r="C7" s="6"/>
      <c r="D7" s="6">
        <v>20</v>
      </c>
      <c r="E7" s="6"/>
      <c r="F7" s="6">
        <v>20</v>
      </c>
    </row>
    <row r="8" spans="1:6" x14ac:dyDescent="0.55000000000000004">
      <c r="A8" s="11" t="s">
        <v>8326</v>
      </c>
      <c r="B8" s="6"/>
      <c r="C8" s="6"/>
      <c r="D8" s="6">
        <v>24</v>
      </c>
      <c r="E8" s="6"/>
      <c r="F8" s="6">
        <v>24</v>
      </c>
    </row>
    <row r="9" spans="1:6" x14ac:dyDescent="0.55000000000000004">
      <c r="A9" s="11" t="s">
        <v>8327</v>
      </c>
      <c r="B9" s="6"/>
      <c r="C9" s="6">
        <v>40</v>
      </c>
      <c r="D9" s="6"/>
      <c r="E9" s="6"/>
      <c r="F9" s="6">
        <v>40</v>
      </c>
    </row>
    <row r="10" spans="1:6" x14ac:dyDescent="0.55000000000000004">
      <c r="A10" s="11" t="s">
        <v>8328</v>
      </c>
      <c r="B10" s="6">
        <v>40</v>
      </c>
      <c r="C10" s="6"/>
      <c r="D10" s="6"/>
      <c r="E10" s="6"/>
      <c r="F10" s="6">
        <v>40</v>
      </c>
    </row>
    <row r="11" spans="1:6" x14ac:dyDescent="0.55000000000000004">
      <c r="A11" s="11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55000000000000004">
      <c r="A12" s="11" t="s">
        <v>8330</v>
      </c>
      <c r="B12" s="6"/>
      <c r="C12" s="6">
        <v>80</v>
      </c>
      <c r="D12" s="6"/>
      <c r="E12" s="6"/>
      <c r="F12" s="6">
        <v>80</v>
      </c>
    </row>
    <row r="13" spans="1:6" x14ac:dyDescent="0.55000000000000004">
      <c r="A13" s="11" t="s">
        <v>8331</v>
      </c>
      <c r="B13" s="6">
        <v>40</v>
      </c>
      <c r="C13" s="6"/>
      <c r="D13" s="6"/>
      <c r="E13" s="6"/>
      <c r="F13" s="6">
        <v>40</v>
      </c>
    </row>
    <row r="14" spans="1:6" x14ac:dyDescent="0.55000000000000004">
      <c r="A14" s="11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55000000000000004">
      <c r="A15" s="11" t="s">
        <v>8333</v>
      </c>
      <c r="B15" s="6"/>
      <c r="C15" s="6">
        <v>40</v>
      </c>
      <c r="D15" s="6"/>
      <c r="E15" s="6"/>
      <c r="F15" s="6">
        <v>40</v>
      </c>
    </row>
    <row r="16" spans="1:6" x14ac:dyDescent="0.55000000000000004">
      <c r="A16" s="11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55000000000000004">
      <c r="A17" s="11" t="s">
        <v>8335</v>
      </c>
      <c r="B17" s="6"/>
      <c r="C17" s="6">
        <v>20</v>
      </c>
      <c r="D17" s="6"/>
      <c r="E17" s="6"/>
      <c r="F17" s="6">
        <v>20</v>
      </c>
    </row>
    <row r="18" spans="1:6" x14ac:dyDescent="0.55000000000000004">
      <c r="A18" s="11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55000000000000004">
      <c r="A19" s="11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55000000000000004">
      <c r="A20" s="11" t="s">
        <v>8338</v>
      </c>
      <c r="B20" s="6"/>
      <c r="C20" s="6">
        <v>60</v>
      </c>
      <c r="D20" s="6"/>
      <c r="E20" s="6"/>
      <c r="F20" s="6">
        <v>60</v>
      </c>
    </row>
    <row r="21" spans="1:6" x14ac:dyDescent="0.55000000000000004">
      <c r="A21" s="11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55000000000000004">
      <c r="A22" s="11" t="s">
        <v>8340</v>
      </c>
      <c r="B22" s="6">
        <v>20</v>
      </c>
      <c r="C22" s="6"/>
      <c r="D22" s="6"/>
      <c r="E22" s="6"/>
      <c r="F22" s="6">
        <v>20</v>
      </c>
    </row>
    <row r="23" spans="1:6" x14ac:dyDescent="0.55000000000000004">
      <c r="A23" s="11" t="s">
        <v>8341</v>
      </c>
      <c r="B23" s="6"/>
      <c r="C23" s="6">
        <v>40</v>
      </c>
      <c r="D23" s="6"/>
      <c r="E23" s="6"/>
      <c r="F23" s="6">
        <v>40</v>
      </c>
    </row>
    <row r="24" spans="1:6" x14ac:dyDescent="0.55000000000000004">
      <c r="A24" s="11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55000000000000004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55000000000000004">
      <c r="A26" s="11" t="s">
        <v>8344</v>
      </c>
      <c r="B26" s="6">
        <v>60</v>
      </c>
      <c r="C26" s="6"/>
      <c r="D26" s="6"/>
      <c r="E26" s="6"/>
      <c r="F26" s="6">
        <v>60</v>
      </c>
    </row>
    <row r="27" spans="1:6" x14ac:dyDescent="0.55000000000000004">
      <c r="A27" s="11" t="s">
        <v>8345</v>
      </c>
      <c r="B27" s="6"/>
      <c r="C27" s="6">
        <v>20</v>
      </c>
      <c r="D27" s="6"/>
      <c r="E27" s="6"/>
      <c r="F27" s="6">
        <v>20</v>
      </c>
    </row>
    <row r="28" spans="1:6" x14ac:dyDescent="0.55000000000000004">
      <c r="A28" s="11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55000000000000004">
      <c r="A29" s="11" t="s">
        <v>8347</v>
      </c>
      <c r="B29" s="6"/>
      <c r="C29" s="6">
        <v>20</v>
      </c>
      <c r="D29" s="6"/>
      <c r="E29" s="6"/>
      <c r="F29" s="6">
        <v>20</v>
      </c>
    </row>
    <row r="30" spans="1:6" x14ac:dyDescent="0.55000000000000004">
      <c r="A30" s="11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55000000000000004">
      <c r="A31" s="11" t="s">
        <v>8349</v>
      </c>
      <c r="B31" s="6">
        <v>40</v>
      </c>
      <c r="C31" s="6"/>
      <c r="D31" s="6"/>
      <c r="E31" s="6"/>
      <c r="F31" s="6">
        <v>40</v>
      </c>
    </row>
    <row r="32" spans="1:6" x14ac:dyDescent="0.55000000000000004">
      <c r="A32" s="11" t="s">
        <v>8350</v>
      </c>
      <c r="B32" s="6">
        <v>20</v>
      </c>
      <c r="C32" s="6"/>
      <c r="D32" s="6"/>
      <c r="E32" s="6"/>
      <c r="F32" s="6">
        <v>20</v>
      </c>
    </row>
    <row r="33" spans="1:6" x14ac:dyDescent="0.55000000000000004">
      <c r="A33" s="11" t="s">
        <v>8351</v>
      </c>
      <c r="B33" s="6"/>
      <c r="C33" s="6">
        <v>20</v>
      </c>
      <c r="D33" s="6"/>
      <c r="E33" s="6"/>
      <c r="F33" s="6">
        <v>20</v>
      </c>
    </row>
    <row r="34" spans="1:6" x14ac:dyDescent="0.55000000000000004">
      <c r="A34" s="11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55000000000000004">
      <c r="A35" s="11" t="s">
        <v>8353</v>
      </c>
      <c r="B35" s="6"/>
      <c r="C35" s="6"/>
      <c r="D35" s="6">
        <v>40</v>
      </c>
      <c r="E35" s="6"/>
      <c r="F35" s="6">
        <v>40</v>
      </c>
    </row>
    <row r="36" spans="1:6" x14ac:dyDescent="0.55000000000000004">
      <c r="A36" s="11" t="s">
        <v>8354</v>
      </c>
      <c r="B36" s="6">
        <v>60</v>
      </c>
      <c r="C36" s="6"/>
      <c r="D36" s="6"/>
      <c r="E36" s="6"/>
      <c r="F36" s="6">
        <v>60</v>
      </c>
    </row>
    <row r="37" spans="1:6" x14ac:dyDescent="0.55000000000000004">
      <c r="A37" s="11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55000000000000004">
      <c r="A38" s="11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55000000000000004">
      <c r="A39" s="11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55000000000000004">
      <c r="A40" s="11" t="s">
        <v>8358</v>
      </c>
      <c r="B40" s="6">
        <v>80</v>
      </c>
      <c r="C40" s="6"/>
      <c r="D40" s="6"/>
      <c r="E40" s="6"/>
      <c r="F40" s="6">
        <v>80</v>
      </c>
    </row>
    <row r="41" spans="1:6" x14ac:dyDescent="0.55000000000000004">
      <c r="A41" s="11" t="s">
        <v>8359</v>
      </c>
      <c r="B41" s="6">
        <v>60</v>
      </c>
      <c r="C41" s="6"/>
      <c r="D41" s="6"/>
      <c r="E41" s="6"/>
      <c r="F41" s="6">
        <v>60</v>
      </c>
    </row>
    <row r="42" spans="1:6" x14ac:dyDescent="0.55000000000000004">
      <c r="A42" s="11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55000000000000004">
      <c r="A43" s="11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55000000000000004">
      <c r="A44" s="11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55000000000000004">
      <c r="A45" s="11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55000000000000004">
      <c r="A46" s="11" t="s">
        <v>8364</v>
      </c>
      <c r="B46" s="6"/>
      <c r="C46" s="6"/>
      <c r="D46" s="6">
        <v>20</v>
      </c>
      <c r="E46" s="6"/>
      <c r="F46" s="6">
        <v>20</v>
      </c>
    </row>
    <row r="47" spans="1:6" x14ac:dyDescent="0.55000000000000004">
      <c r="A47" s="11" t="s">
        <v>8311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sortState columnSort="1" ref="A4:F47">
    <sortCondition descending="1" ref="B47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95983-D1D2-4AD2-A5C6-B748D18C42E5}">
  <dimension ref="A1:E18"/>
  <sheetViews>
    <sheetView workbookViewId="0">
      <selection activeCell="J25" sqref="J25"/>
    </sheetView>
  </sheetViews>
  <sheetFormatPr defaultRowHeight="14.4" x14ac:dyDescent="0.55000000000000004"/>
  <cols>
    <col min="1" max="1" width="12.523437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10" t="s">
        <v>8366</v>
      </c>
      <c r="B1" t="s">
        <v>8323</v>
      </c>
    </row>
    <row r="2" spans="1:5" x14ac:dyDescent="0.55000000000000004">
      <c r="A2" s="10" t="s">
        <v>8381</v>
      </c>
      <c r="B2" t="s">
        <v>8323</v>
      </c>
    </row>
    <row r="4" spans="1:5" x14ac:dyDescent="0.55000000000000004">
      <c r="A4" s="10" t="s">
        <v>8322</v>
      </c>
      <c r="B4" s="10" t="s">
        <v>8312</v>
      </c>
    </row>
    <row r="5" spans="1:5" x14ac:dyDescent="0.55000000000000004">
      <c r="A5" s="10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55000000000000004">
      <c r="A6" s="11" t="s">
        <v>8375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55000000000000004">
      <c r="A7" s="11" t="s">
        <v>8376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55000000000000004">
      <c r="A8" s="11" t="s">
        <v>8377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55000000000000004">
      <c r="A9" s="11" t="s">
        <v>8378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55000000000000004">
      <c r="A10" s="11" t="s">
        <v>8369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55000000000000004">
      <c r="A11" s="11" t="s">
        <v>8379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55000000000000004">
      <c r="A12" s="11" t="s">
        <v>8370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55000000000000004">
      <c r="A13" s="11" t="s">
        <v>8371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55000000000000004">
      <c r="A14" s="11" t="s">
        <v>8372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55000000000000004">
      <c r="A15" s="11" t="s">
        <v>8373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55000000000000004">
      <c r="A16" s="11" t="s">
        <v>8374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55000000000000004">
      <c r="A17" s="11" t="s">
        <v>8380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55000000000000004">
      <c r="A18" s="11" t="s">
        <v>8311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8D20-2BEA-4195-8C79-D59D7FF16DA9}">
  <dimension ref="A1:H19"/>
  <sheetViews>
    <sheetView tabSelected="1" zoomScale="96" zoomScaleNormal="96" workbookViewId="0">
      <selection activeCell="H22" sqref="H22"/>
    </sheetView>
  </sheetViews>
  <sheetFormatPr defaultRowHeight="14.4" x14ac:dyDescent="0.55000000000000004"/>
  <cols>
    <col min="1" max="1" width="26" bestFit="1" customWidth="1"/>
    <col min="2" max="2" width="16.68359375" customWidth="1"/>
    <col min="3" max="3" width="14.734375" customWidth="1"/>
    <col min="4" max="4" width="15.83984375" customWidth="1"/>
    <col min="5" max="5" width="14.7890625" customWidth="1"/>
    <col min="6" max="6" width="20.68359375" customWidth="1"/>
    <col min="7" max="7" width="17.05078125" customWidth="1"/>
    <col min="8" max="8" width="19.20703125" customWidth="1"/>
    <col min="9" max="12" width="26" bestFit="1" customWidth="1"/>
    <col min="13" max="13" width="10.20703125" bestFit="1" customWidth="1"/>
  </cols>
  <sheetData>
    <row r="1" spans="1:8" s="1" customFormat="1" ht="14.7" thickBot="1" x14ac:dyDescent="0.6">
      <c r="A1" s="19" t="s">
        <v>8382</v>
      </c>
      <c r="B1" s="20" t="s">
        <v>8383</v>
      </c>
      <c r="C1" s="21" t="s">
        <v>8389</v>
      </c>
      <c r="D1" s="21" t="s">
        <v>8384</v>
      </c>
      <c r="E1" s="21" t="s">
        <v>8385</v>
      </c>
      <c r="F1" s="21" t="s">
        <v>8386</v>
      </c>
      <c r="G1" s="21" t="s">
        <v>8387</v>
      </c>
      <c r="H1" s="21" t="s">
        <v>8388</v>
      </c>
    </row>
    <row r="2" spans="1:8" x14ac:dyDescent="0.55000000000000004">
      <c r="A2" s="17" t="s">
        <v>8390</v>
      </c>
      <c r="B2" s="14">
        <f>COUNTIFS('Data Source'!F:F,"successful",goal,"&lt;1000")</f>
        <v>322</v>
      </c>
      <c r="C2" s="15">
        <f>COUNTIFS('Data Source'!F:F,"failed",goal,"&lt;1000")</f>
        <v>113</v>
      </c>
      <c r="D2" s="15">
        <f>COUNTIFS('Data Source'!F:F,"canceled",goal,"&lt;1000")</f>
        <v>18</v>
      </c>
      <c r="E2" s="15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55000000000000004">
      <c r="A3" s="16" t="s">
        <v>8391</v>
      </c>
      <c r="B3" s="14">
        <f>COUNTIFS('Data Source'!F:F,"successful",goal,"&gt;=1000",goal,"&lt;=4999")</f>
        <v>932</v>
      </c>
      <c r="C3" s="13">
        <f>COUNTIFS('Data Source'!F:F,"failed",goal,"&gt;=1000",goal,"&lt;=4999")</f>
        <v>420</v>
      </c>
      <c r="D3" s="13">
        <f>COUNTIFS('Data Source'!F:F,"canceled",goal,"&gt;=1000",goal,"&lt;=4999")</f>
        <v>60</v>
      </c>
      <c r="E3" s="15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55000000000000004">
      <c r="A4" s="16" t="s">
        <v>8392</v>
      </c>
      <c r="B4" s="14">
        <f>COUNTIFS('Data Source'!F:F,"successful",goal,"&gt;=5000",goal,"&lt;=9999")</f>
        <v>381</v>
      </c>
      <c r="C4" s="13">
        <f>COUNTIFS('Data Source'!F:F,"failed",goal,"&gt;=5000",goal,"&lt;=9999")</f>
        <v>283</v>
      </c>
      <c r="D4" s="13">
        <f>COUNTIFS('Data Source'!F:F,"canceled",goal,"&gt;=5000",goal,"&lt;=9999")</f>
        <v>52</v>
      </c>
      <c r="E4" s="15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55000000000000004">
      <c r="A5" s="16" t="s">
        <v>8393</v>
      </c>
      <c r="B5" s="14">
        <f>COUNTIFS('Data Source'!F:F,"successful",goal,"&gt;=10000",goal,"&lt;=14999")</f>
        <v>168</v>
      </c>
      <c r="C5" s="13">
        <f>COUNTIFS('Data Source'!F:F,"failed",goal,"&gt;=10000",goal,"&lt;=14999")</f>
        <v>144</v>
      </c>
      <c r="D5" s="13">
        <f>COUNTIFS('Data Source'!F:F,"canceled",goal,"&gt;=10000",goal,"&lt;=14999")</f>
        <v>40</v>
      </c>
      <c r="E5" s="1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55000000000000004">
      <c r="A6" s="16" t="s">
        <v>8394</v>
      </c>
      <c r="B6" s="14">
        <f>COUNTIFS('Data Source'!F:F,"successful",goal,"&gt;=15000",goal,"&lt;=19999")</f>
        <v>94</v>
      </c>
      <c r="C6" s="13">
        <f>COUNTIFS('Data Source'!F:F,"failed",goal,"&gt;=15000",goal,"&lt;=19999")</f>
        <v>90</v>
      </c>
      <c r="D6" s="13">
        <f>COUNTIFS('Data Source'!F:F,"canceled",goal,"&gt;=15000",goal,"&lt;=19999")</f>
        <v>17</v>
      </c>
      <c r="E6" s="15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55000000000000004">
      <c r="A7" s="16" t="s">
        <v>8395</v>
      </c>
      <c r="B7" s="14">
        <f>COUNTIFS('Data Source'!F:F,"successful",goal,"&gt;=20000",goal,"&lt;=24999")</f>
        <v>62</v>
      </c>
      <c r="C7" s="13">
        <f>COUNTIFS('Data Source'!F:F,"failed",goal,"&gt;=20000",goal,"&lt;=24999")</f>
        <v>72</v>
      </c>
      <c r="D7" s="13">
        <f>COUNTIFS('Data Source'!F:F,"canceled",goal,"&gt;=20000",goal,"&lt;=24999")</f>
        <v>14</v>
      </c>
      <c r="E7" s="15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55000000000000004">
      <c r="A8" s="16" t="s">
        <v>8396</v>
      </c>
      <c r="B8" s="14">
        <f>COUNTIFS('Data Source'!F:F,"successful",goal,"&gt;=25000",goal,"&lt;=29999")</f>
        <v>55</v>
      </c>
      <c r="C8" s="13">
        <f>COUNTIFS('Data Source'!F:F,"failed",goal,"&gt;=25000",goal,"&lt;=29999")</f>
        <v>64</v>
      </c>
      <c r="D8" s="13">
        <f>COUNTIFS('Data Source'!F:F,"canceled",goal,"&gt;=25000",goal,"&lt;=29999")</f>
        <v>18</v>
      </c>
      <c r="E8" s="15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55000000000000004">
      <c r="A9" s="16" t="s">
        <v>8397</v>
      </c>
      <c r="B9" s="14">
        <f>COUNTIFS('Data Source'!F:F,"successful",goal,"&gt;=30000",goal,"&lt;=34999")</f>
        <v>32</v>
      </c>
      <c r="C9" s="13">
        <f>COUNTIFS('Data Source'!F:F,"failed",goal,"&gt;=30000",goal,"&lt;=34999")</f>
        <v>37</v>
      </c>
      <c r="D9" s="13">
        <f>COUNTIFS('Data Source'!F:F,"canceled",goal,"&gt;=30000",goal,"&lt;=34999")</f>
        <v>13</v>
      </c>
      <c r="E9" s="15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55000000000000004">
      <c r="A10" s="16" t="s">
        <v>8398</v>
      </c>
      <c r="B10" s="14">
        <f>COUNTIFS('Data Source'!F:F,"successful",goal,"&gt;=35000",goal,"&lt;=39999")</f>
        <v>26</v>
      </c>
      <c r="C10" s="13">
        <f>COUNTIFS('Data Source'!F:F,"failed",goal,"&gt;=35000",goal,"&lt;=39999")</f>
        <v>22</v>
      </c>
      <c r="D10" s="13">
        <f>COUNTIFS('Data Source'!F:F,"canceled",goal,"&gt;=35000",goal,"&lt;=39999")</f>
        <v>7</v>
      </c>
      <c r="E10" s="15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55000000000000004">
      <c r="A11" s="16" t="s">
        <v>8399</v>
      </c>
      <c r="B11" s="14">
        <f>COUNTIFS('Data Source'!F:F,"successful",goal,"&gt;=40000",goal,"&lt;=44999")</f>
        <v>21</v>
      </c>
      <c r="C11" s="13">
        <f>COUNTIFS('Data Source'!F:F,"failed",goal,"&gt;=40000",goal,"&lt;=44999")</f>
        <v>16</v>
      </c>
      <c r="D11" s="13">
        <f>COUNTIFS('Data Source'!F:F,"canceled",goal,"&gt;=40000",goal,"&lt;=44999")</f>
        <v>6</v>
      </c>
      <c r="E11" s="15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55000000000000004">
      <c r="A12" s="16" t="s">
        <v>8400</v>
      </c>
      <c r="B12" s="14">
        <f>COUNTIFS('Data Source'!F:F,"successful",goal,"&gt;=45000",goal,"&lt;=49999")</f>
        <v>6</v>
      </c>
      <c r="C12" s="13">
        <f>COUNTIFS('Data Source'!F:F,"failed",goal,"&gt;=45000",goal,"&lt;=49999")</f>
        <v>11</v>
      </c>
      <c r="D12" s="13">
        <f>COUNTIFS('Data Source'!F:F,"canceled",goal,"&gt;=45000",goal,"&lt;=49999")</f>
        <v>4</v>
      </c>
      <c r="E12" s="15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55000000000000004">
      <c r="A13" s="16" t="s">
        <v>8401</v>
      </c>
      <c r="B13" s="14">
        <f>COUNTIFS('Data Source'!F:F,"successful",goal,"&gt;=50000")</f>
        <v>86</v>
      </c>
      <c r="C13" s="13">
        <f>COUNTIFS('Data Source'!F:F,"failed",goal,"&gt;=50000")</f>
        <v>258</v>
      </c>
      <c r="D13" s="13">
        <f>COUNTIFS('Data Source'!F:F,"canceled",goal,"&gt;=50000")</f>
        <v>100</v>
      </c>
      <c r="E13" s="15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9" ht="13.8" customHeight="1" x14ac:dyDescent="0.55000000000000004"/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 Source</vt:lpstr>
      <vt:lpstr>Pivot 1</vt:lpstr>
      <vt:lpstr>Pivot 2</vt:lpstr>
      <vt:lpstr>Pivot 3</vt:lpstr>
      <vt:lpstr>Bonus -Outcome Based on Goals</vt:lpstr>
      <vt:lpstr>backers_count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Kristina Sorrelli</cp:lastModifiedBy>
  <cp:lastPrinted>2018-06-08T05:59:53Z</cp:lastPrinted>
  <dcterms:created xsi:type="dcterms:W3CDTF">2017-04-20T15:17:24Z</dcterms:created>
  <dcterms:modified xsi:type="dcterms:W3CDTF">2018-06-09T00:39:26Z</dcterms:modified>
</cp:coreProperties>
</file>