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/>
  <mc:AlternateContent xmlns:mc="http://schemas.openxmlformats.org/markup-compatibility/2006">
    <mc:Choice Requires="x15">
      <x15ac:absPath xmlns:x15ac="http://schemas.microsoft.com/office/spreadsheetml/2010/11/ac" url="/Users/kdr/Documents/AmazonInfo/AmazonDatasets/"/>
    </mc:Choice>
  </mc:AlternateContent>
  <xr:revisionPtr revIDLastSave="0" documentId="13_ncr:1_{2E98C33D-C29A-0941-98E3-3F141E9AF5DE}" xr6:coauthVersionLast="47" xr6:coauthVersionMax="47" xr10:uidLastSave="{00000000-0000-0000-0000-000000000000}"/>
  <bookViews>
    <workbookView xWindow="9540" yWindow="2340" windowWidth="27320" windowHeight="15360" activeTab="3" xr2:uid="{00000000-000D-0000-FFFF-FFFF00000000}"/>
  </bookViews>
  <sheets>
    <sheet name="AMZN operations" sheetId="1" r:id="rId1"/>
    <sheet name="Net Sales Sub-Categories" sheetId="2" r:id="rId2"/>
    <sheet name="Orders-Transpose" sheetId="4" r:id="rId3"/>
    <sheet name="Forecast-Q32024 Fulfillment" sheetId="5" r:id="rId4"/>
    <sheet name="Forecast-Q32024 Net Prod Sales" sheetId="6" r:id="rId5"/>
  </sheets>
  <definedNames>
    <definedName name="solver_adj" localSheetId="3" hidden="1">'Forecast-Q32024 Fulfillment'!#REF!</definedName>
    <definedName name="solver_adj" localSheetId="4" hidden="1">'Forecast-Q32024 Net Prod Sales'!$T$2:$T$5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'Forecast-Q32024 Fulfillment'!#REF!</definedName>
    <definedName name="solver_lhs1" localSheetId="4" hidden="1">'Forecast-Q32024 Net Prod Sales'!$T$6</definedName>
    <definedName name="solver_lin" localSheetId="3" hidden="1">2</definedName>
    <definedName name="solver_lin" localSheetId="4" hidden="1">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1</definedName>
    <definedName name="solver_num" localSheetId="4" hidden="1">1</definedName>
    <definedName name="solver_opt" localSheetId="3" hidden="1">'Forecast-Q32024 Fulfillment'!#REF!</definedName>
    <definedName name="solver_opt" localSheetId="4" hidden="1">'Forecast-Q32024 Net Prod Sales'!$R$3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2</definedName>
    <definedName name="solver_rel1" localSheetId="4" hidden="1">2</definedName>
    <definedName name="solver_rhs1" localSheetId="3" hidden="1">1</definedName>
    <definedName name="solver_rhs1" localSheetId="4" hidden="1">1</definedName>
    <definedName name="solver_rlx" localSheetId="3" hidden="1">1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2</definedName>
    <definedName name="solver_ver" localSheetId="4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5" l="1"/>
  <c r="J53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7" i="5"/>
  <c r="L57" i="6"/>
  <c r="P57" i="5"/>
  <c r="BA54" i="5"/>
  <c r="BA54" i="6"/>
  <c r="BA57" i="5"/>
  <c r="BA56" i="5"/>
  <c r="BA57" i="6"/>
  <c r="BA56" i="6"/>
  <c r="P56" i="5"/>
  <c r="L56" i="6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D7" i="2"/>
  <c r="C7" i="2"/>
  <c r="P7" i="5"/>
  <c r="D6" i="5"/>
  <c r="E6" i="5" s="1"/>
  <c r="AX53" i="6"/>
  <c r="AY53" i="6"/>
  <c r="N3" i="6"/>
  <c r="R3" i="6"/>
  <c r="Q3" i="6"/>
  <c r="P7" i="6"/>
  <c r="Q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Q27" i="6" s="1"/>
  <c r="P28" i="6"/>
  <c r="R28" i="6" s="1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R7" i="6"/>
  <c r="R11" i="6"/>
  <c r="L8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4" i="6"/>
  <c r="AX4" i="6"/>
  <c r="AX4" i="5"/>
  <c r="AR51" i="6"/>
  <c r="AR47" i="6"/>
  <c r="AS47" i="6" s="1"/>
  <c r="AR43" i="6"/>
  <c r="AS45" i="6" s="1"/>
  <c r="AR39" i="6"/>
  <c r="AR35" i="6"/>
  <c r="AR31" i="6"/>
  <c r="AS33" i="6" s="1"/>
  <c r="AR27" i="6"/>
  <c r="AR23" i="6"/>
  <c r="AR19" i="6"/>
  <c r="AR15" i="6"/>
  <c r="AR11" i="6"/>
  <c r="AR7" i="6"/>
  <c r="L54" i="6"/>
  <c r="B51" i="6"/>
  <c r="B47" i="6"/>
  <c r="E47" i="6" s="1"/>
  <c r="B43" i="6"/>
  <c r="D45" i="6" s="1"/>
  <c r="E45" i="6" s="1"/>
  <c r="F45" i="6" s="1"/>
  <c r="B39" i="6"/>
  <c r="B35" i="6"/>
  <c r="B31" i="6"/>
  <c r="L32" i="6" s="1"/>
  <c r="B27" i="6"/>
  <c r="B23" i="6"/>
  <c r="B19" i="6"/>
  <c r="B15" i="6"/>
  <c r="H18" i="6" s="1"/>
  <c r="J17" i="6" s="1"/>
  <c r="B11" i="6"/>
  <c r="B7" i="6"/>
  <c r="J53" i="6"/>
  <c r="AT52" i="6"/>
  <c r="AU52" i="6" s="1"/>
  <c r="H51" i="6"/>
  <c r="D51" i="6"/>
  <c r="AS50" i="6"/>
  <c r="J50" i="6"/>
  <c r="D50" i="6"/>
  <c r="E50" i="6" s="1"/>
  <c r="F50" i="6" s="1"/>
  <c r="H47" i="6"/>
  <c r="D47" i="6"/>
  <c r="AS46" i="6"/>
  <c r="D46" i="6"/>
  <c r="E46" i="6" s="1"/>
  <c r="F46" i="6" s="1"/>
  <c r="H43" i="6"/>
  <c r="I43" i="6" s="1"/>
  <c r="D43" i="6"/>
  <c r="AS42" i="6"/>
  <c r="J42" i="6"/>
  <c r="E42" i="6"/>
  <c r="F42" i="6" s="1"/>
  <c r="D42" i="6"/>
  <c r="N39" i="6"/>
  <c r="H39" i="6"/>
  <c r="D39" i="6"/>
  <c r="AS38" i="6"/>
  <c r="D38" i="6"/>
  <c r="E38" i="6" s="1"/>
  <c r="F38" i="6" s="1"/>
  <c r="AS37" i="6"/>
  <c r="D37" i="6"/>
  <c r="E37" i="6" s="1"/>
  <c r="F37" i="6" s="1"/>
  <c r="AS36" i="6"/>
  <c r="AT36" i="6" s="1"/>
  <c r="AU36" i="6" s="1"/>
  <c r="D36" i="6"/>
  <c r="E36" i="6" s="1"/>
  <c r="F36" i="6" s="1"/>
  <c r="AS35" i="6"/>
  <c r="Q35" i="6"/>
  <c r="H35" i="6"/>
  <c r="E35" i="6"/>
  <c r="F35" i="6" s="1"/>
  <c r="D35" i="6"/>
  <c r="L39" i="6"/>
  <c r="AS34" i="6"/>
  <c r="AT34" i="6" s="1"/>
  <c r="AU34" i="6" s="1"/>
  <c r="F34" i="6"/>
  <c r="D34" i="6"/>
  <c r="E34" i="6" s="1"/>
  <c r="H31" i="6"/>
  <c r="D31" i="6"/>
  <c r="D30" i="6"/>
  <c r="E30" i="6" s="1"/>
  <c r="F30" i="6" s="1"/>
  <c r="AS29" i="6"/>
  <c r="D29" i="6"/>
  <c r="E29" i="6" s="1"/>
  <c r="F29" i="6" s="1"/>
  <c r="AS28" i="6"/>
  <c r="D28" i="6"/>
  <c r="E28" i="6" s="1"/>
  <c r="F28" i="6" s="1"/>
  <c r="AS27" i="6"/>
  <c r="H27" i="6"/>
  <c r="D27" i="6"/>
  <c r="E27" i="6" s="1"/>
  <c r="F27" i="6" s="1"/>
  <c r="L31" i="6"/>
  <c r="AS26" i="6"/>
  <c r="D26" i="6"/>
  <c r="E26" i="6" s="1"/>
  <c r="F26" i="6" s="1"/>
  <c r="H23" i="6"/>
  <c r="D23" i="6"/>
  <c r="F22" i="6"/>
  <c r="D22" i="6"/>
  <c r="E22" i="6" s="1"/>
  <c r="AS21" i="6"/>
  <c r="D21" i="6"/>
  <c r="E21" i="6" s="1"/>
  <c r="F21" i="6" s="1"/>
  <c r="AS20" i="6"/>
  <c r="AT20" i="6" s="1"/>
  <c r="AU20" i="6" s="1"/>
  <c r="AS19" i="6"/>
  <c r="H19" i="6"/>
  <c r="D19" i="6"/>
  <c r="AS18" i="6"/>
  <c r="F18" i="6"/>
  <c r="D18" i="6"/>
  <c r="E18" i="6" s="1"/>
  <c r="H16" i="6"/>
  <c r="I16" i="6" s="1"/>
  <c r="H15" i="6"/>
  <c r="D15" i="6"/>
  <c r="D14" i="6"/>
  <c r="E14" i="6" s="1"/>
  <c r="F14" i="6" s="1"/>
  <c r="L13" i="6"/>
  <c r="AS13" i="6"/>
  <c r="H11" i="6"/>
  <c r="D11" i="6"/>
  <c r="L12" i="6"/>
  <c r="AS10" i="6"/>
  <c r="D10" i="6"/>
  <c r="E10" i="6" s="1"/>
  <c r="F10" i="6" s="1"/>
  <c r="AS9" i="6"/>
  <c r="AS8" i="6"/>
  <c r="AT8" i="6" s="1"/>
  <c r="AU8" i="6" s="1"/>
  <c r="AS7" i="6"/>
  <c r="H7" i="6"/>
  <c r="I7" i="6" s="1"/>
  <c r="D7" i="6"/>
  <c r="AS6" i="6"/>
  <c r="D6" i="6"/>
  <c r="E6" i="6" s="1"/>
  <c r="AQ5" i="6"/>
  <c r="AQ6" i="6" s="1"/>
  <c r="AQ7" i="6" s="1"/>
  <c r="AQ8" i="6" s="1"/>
  <c r="AQ9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V4" i="6"/>
  <c r="X4" i="6" s="1"/>
  <c r="AT52" i="5"/>
  <c r="AU52" i="5" s="1"/>
  <c r="AR51" i="5"/>
  <c r="AT51" i="5" s="1"/>
  <c r="AS50" i="5"/>
  <c r="AR47" i="5"/>
  <c r="AS47" i="5" s="1"/>
  <c r="AR43" i="5"/>
  <c r="AS42" i="5" s="1"/>
  <c r="AR39" i="5"/>
  <c r="AS38" i="5" s="1"/>
  <c r="AR35" i="5"/>
  <c r="AS34" i="5" s="1"/>
  <c r="AR31" i="5"/>
  <c r="AS30" i="5" s="1"/>
  <c r="AR27" i="5"/>
  <c r="AS26" i="5" s="1"/>
  <c r="AR23" i="5"/>
  <c r="AS25" i="5" s="1"/>
  <c r="AR19" i="5"/>
  <c r="AS18" i="5" s="1"/>
  <c r="AR15" i="5"/>
  <c r="AS15" i="5" s="1"/>
  <c r="AR11" i="5"/>
  <c r="AS10" i="5" s="1"/>
  <c r="AR7" i="5"/>
  <c r="AS9" i="5" s="1"/>
  <c r="AQ5" i="5"/>
  <c r="AQ6" i="5" s="1"/>
  <c r="AQ7" i="5" s="1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Q48" i="5" s="1"/>
  <c r="AQ49" i="5" s="1"/>
  <c r="AQ50" i="5" s="1"/>
  <c r="AQ51" i="5" s="1"/>
  <c r="AX51" i="5" s="1"/>
  <c r="T5" i="5"/>
  <c r="V4" i="5"/>
  <c r="P11" i="5"/>
  <c r="P15" i="5"/>
  <c r="P19" i="5"/>
  <c r="P23" i="5"/>
  <c r="P27" i="5"/>
  <c r="P31" i="5"/>
  <c r="P35" i="5"/>
  <c r="P39" i="5"/>
  <c r="P43" i="5"/>
  <c r="P47" i="5"/>
  <c r="P51" i="5"/>
  <c r="H11" i="5"/>
  <c r="H15" i="5"/>
  <c r="H19" i="5"/>
  <c r="H23" i="5"/>
  <c r="H27" i="5"/>
  <c r="H31" i="5"/>
  <c r="H35" i="5"/>
  <c r="H39" i="5"/>
  <c r="H43" i="5"/>
  <c r="H47" i="5"/>
  <c r="H51" i="5"/>
  <c r="H7" i="5"/>
  <c r="D7" i="5"/>
  <c r="D10" i="5"/>
  <c r="E10" i="5" s="1"/>
  <c r="F10" i="5" s="1"/>
  <c r="D11" i="5"/>
  <c r="D14" i="5"/>
  <c r="E14" i="5" s="1"/>
  <c r="F14" i="5" s="1"/>
  <c r="D15" i="5"/>
  <c r="D18" i="5"/>
  <c r="E18" i="5" s="1"/>
  <c r="F18" i="5" s="1"/>
  <c r="D19" i="5"/>
  <c r="D22" i="5"/>
  <c r="E22" i="5" s="1"/>
  <c r="F22" i="5" s="1"/>
  <c r="D23" i="5"/>
  <c r="D26" i="5"/>
  <c r="E26" i="5" s="1"/>
  <c r="F26" i="5" s="1"/>
  <c r="D27" i="5"/>
  <c r="D30" i="5"/>
  <c r="E30" i="5" s="1"/>
  <c r="F30" i="5" s="1"/>
  <c r="D31" i="5"/>
  <c r="D34" i="5"/>
  <c r="E34" i="5" s="1"/>
  <c r="F34" i="5" s="1"/>
  <c r="D35" i="5"/>
  <c r="D38" i="5"/>
  <c r="E38" i="5" s="1"/>
  <c r="F38" i="5" s="1"/>
  <c r="D39" i="5"/>
  <c r="D42" i="5"/>
  <c r="E42" i="5" s="1"/>
  <c r="F42" i="5" s="1"/>
  <c r="D43" i="5"/>
  <c r="D46" i="5"/>
  <c r="E46" i="5" s="1"/>
  <c r="F46" i="5" s="1"/>
  <c r="D47" i="5"/>
  <c r="D50" i="5"/>
  <c r="E50" i="5" s="1"/>
  <c r="F50" i="5" s="1"/>
  <c r="D51" i="5"/>
  <c r="B51" i="5"/>
  <c r="B47" i="5"/>
  <c r="P48" i="5" s="1"/>
  <c r="R48" i="5" s="1"/>
  <c r="B43" i="5"/>
  <c r="B39" i="5"/>
  <c r="L40" i="5" s="1"/>
  <c r="B35" i="5"/>
  <c r="L38" i="5" s="1"/>
  <c r="B31" i="5"/>
  <c r="P34" i="5" s="1"/>
  <c r="Q34" i="5" s="1"/>
  <c r="B27" i="5"/>
  <c r="H28" i="5" s="1"/>
  <c r="I28" i="5" s="1"/>
  <c r="B23" i="5"/>
  <c r="H24" i="5" s="1"/>
  <c r="B19" i="5"/>
  <c r="L21" i="5" s="1"/>
  <c r="N21" i="5" s="1"/>
  <c r="B15" i="5"/>
  <c r="P18" i="5" s="1"/>
  <c r="Q18" i="5" s="1"/>
  <c r="B11" i="5"/>
  <c r="L13" i="5" s="1"/>
  <c r="B7" i="5"/>
  <c r="H8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Z14" i="1"/>
  <c r="Q52" i="4"/>
  <c r="L52" i="4"/>
  <c r="E52" i="4"/>
  <c r="Q51" i="4"/>
  <c r="L51" i="4"/>
  <c r="E51" i="4"/>
  <c r="T50" i="4"/>
  <c r="S50" i="4"/>
  <c r="P50" i="4"/>
  <c r="O50" i="4"/>
  <c r="N50" i="4"/>
  <c r="K50" i="4"/>
  <c r="J50" i="4"/>
  <c r="I50" i="4"/>
  <c r="H50" i="4"/>
  <c r="G50" i="4"/>
  <c r="F50" i="4"/>
  <c r="D50" i="4"/>
  <c r="C50" i="4"/>
  <c r="U49" i="4"/>
  <c r="Q49" i="4"/>
  <c r="L49" i="4"/>
  <c r="E49" i="4"/>
  <c r="Q48" i="4"/>
  <c r="L48" i="4"/>
  <c r="E48" i="4"/>
  <c r="M48" i="4" s="1"/>
  <c r="R48" i="4" s="1"/>
  <c r="U48" i="4" s="1"/>
  <c r="Q47" i="4"/>
  <c r="L47" i="4"/>
  <c r="E47" i="4"/>
  <c r="T46" i="4"/>
  <c r="S46" i="4"/>
  <c r="P46" i="4"/>
  <c r="O46" i="4"/>
  <c r="N46" i="4"/>
  <c r="K46" i="4"/>
  <c r="J46" i="4"/>
  <c r="I46" i="4"/>
  <c r="H46" i="4"/>
  <c r="G46" i="4"/>
  <c r="F46" i="4"/>
  <c r="D46" i="4"/>
  <c r="C46" i="4"/>
  <c r="E46" i="4" s="1"/>
  <c r="Q45" i="4"/>
  <c r="L45" i="4"/>
  <c r="E45" i="4"/>
  <c r="Q44" i="4"/>
  <c r="L44" i="4"/>
  <c r="E44" i="4"/>
  <c r="Q43" i="4"/>
  <c r="L43" i="4"/>
  <c r="E43" i="4"/>
  <c r="T42" i="4"/>
  <c r="S42" i="4"/>
  <c r="P42" i="4"/>
  <c r="O42" i="4"/>
  <c r="N42" i="4"/>
  <c r="K42" i="4"/>
  <c r="J42" i="4"/>
  <c r="I42" i="4"/>
  <c r="H42" i="4"/>
  <c r="G42" i="4"/>
  <c r="F42" i="4"/>
  <c r="D42" i="4"/>
  <c r="C42" i="4"/>
  <c r="Q41" i="4"/>
  <c r="L41" i="4"/>
  <c r="E41" i="4"/>
  <c r="Q40" i="4"/>
  <c r="L40" i="4"/>
  <c r="E40" i="4"/>
  <c r="Q39" i="4"/>
  <c r="L39" i="4"/>
  <c r="E39" i="4"/>
  <c r="T38" i="4"/>
  <c r="S38" i="4"/>
  <c r="P38" i="4"/>
  <c r="O38" i="4"/>
  <c r="N38" i="4"/>
  <c r="K38" i="4"/>
  <c r="J38" i="4"/>
  <c r="I38" i="4"/>
  <c r="H38" i="4"/>
  <c r="G38" i="4"/>
  <c r="F38" i="4"/>
  <c r="D38" i="4"/>
  <c r="C38" i="4"/>
  <c r="Q37" i="4"/>
  <c r="L37" i="4"/>
  <c r="E37" i="4"/>
  <c r="Q36" i="4"/>
  <c r="L36" i="4"/>
  <c r="E36" i="4"/>
  <c r="M36" i="4" s="1"/>
  <c r="R36" i="4" s="1"/>
  <c r="U36" i="4" s="1"/>
  <c r="Q35" i="4"/>
  <c r="L35" i="4"/>
  <c r="E35" i="4"/>
  <c r="T34" i="4"/>
  <c r="S34" i="4"/>
  <c r="P34" i="4"/>
  <c r="O34" i="4"/>
  <c r="N34" i="4"/>
  <c r="K34" i="4"/>
  <c r="J34" i="4"/>
  <c r="I34" i="4"/>
  <c r="H34" i="4"/>
  <c r="G34" i="4"/>
  <c r="F34" i="4"/>
  <c r="D34" i="4"/>
  <c r="C34" i="4"/>
  <c r="E34" i="4" s="1"/>
  <c r="Q33" i="4"/>
  <c r="L33" i="4"/>
  <c r="E33" i="4"/>
  <c r="Q32" i="4"/>
  <c r="L32" i="4"/>
  <c r="E32" i="4"/>
  <c r="Q31" i="4"/>
  <c r="L31" i="4"/>
  <c r="E31" i="4"/>
  <c r="M31" i="4" s="1"/>
  <c r="R31" i="4" s="1"/>
  <c r="U31" i="4" s="1"/>
  <c r="T30" i="4"/>
  <c r="S30" i="4"/>
  <c r="P30" i="4"/>
  <c r="O30" i="4"/>
  <c r="N30" i="4"/>
  <c r="K30" i="4"/>
  <c r="J30" i="4"/>
  <c r="I30" i="4"/>
  <c r="H30" i="4"/>
  <c r="G30" i="4"/>
  <c r="F30" i="4"/>
  <c r="D30" i="4"/>
  <c r="C30" i="4"/>
  <c r="Q29" i="4"/>
  <c r="L29" i="4"/>
  <c r="E29" i="4"/>
  <c r="M29" i="4" s="1"/>
  <c r="R29" i="4" s="1"/>
  <c r="U29" i="4" s="1"/>
  <c r="Q28" i="4"/>
  <c r="L28" i="4"/>
  <c r="E28" i="4"/>
  <c r="Q27" i="4"/>
  <c r="L27" i="4"/>
  <c r="E27" i="4"/>
  <c r="T26" i="4"/>
  <c r="S26" i="4"/>
  <c r="P26" i="4"/>
  <c r="O26" i="4"/>
  <c r="N26" i="4"/>
  <c r="K26" i="4"/>
  <c r="J26" i="4"/>
  <c r="I26" i="4"/>
  <c r="H26" i="4"/>
  <c r="G26" i="4"/>
  <c r="F26" i="4"/>
  <c r="D26" i="4"/>
  <c r="C26" i="4"/>
  <c r="E26" i="4" s="1"/>
  <c r="Q25" i="4"/>
  <c r="L25" i="4"/>
  <c r="E25" i="4"/>
  <c r="Q24" i="4"/>
  <c r="L24" i="4"/>
  <c r="E24" i="4"/>
  <c r="Q23" i="4"/>
  <c r="L23" i="4"/>
  <c r="E23" i="4"/>
  <c r="T22" i="4"/>
  <c r="S22" i="4"/>
  <c r="P22" i="4"/>
  <c r="O22" i="4"/>
  <c r="N22" i="4"/>
  <c r="K22" i="4"/>
  <c r="J22" i="4"/>
  <c r="I22" i="4"/>
  <c r="H22" i="4"/>
  <c r="G22" i="4"/>
  <c r="F22" i="4"/>
  <c r="D22" i="4"/>
  <c r="C22" i="4"/>
  <c r="Q21" i="4"/>
  <c r="L21" i="4"/>
  <c r="E21" i="4"/>
  <c r="Q20" i="4"/>
  <c r="L20" i="4"/>
  <c r="E20" i="4"/>
  <c r="M20" i="4" s="1"/>
  <c r="R20" i="4" s="1"/>
  <c r="U20" i="4" s="1"/>
  <c r="Q19" i="4"/>
  <c r="L19" i="4"/>
  <c r="E19" i="4"/>
  <c r="T18" i="4"/>
  <c r="S18" i="4"/>
  <c r="P18" i="4"/>
  <c r="O18" i="4"/>
  <c r="N18" i="4"/>
  <c r="K18" i="4"/>
  <c r="J18" i="4"/>
  <c r="I18" i="4"/>
  <c r="H18" i="4"/>
  <c r="G18" i="4"/>
  <c r="F18" i="4"/>
  <c r="D18" i="4"/>
  <c r="C18" i="4"/>
  <c r="E18" i="4" s="1"/>
  <c r="Q17" i="4"/>
  <c r="L17" i="4"/>
  <c r="E17" i="4"/>
  <c r="Q16" i="4"/>
  <c r="L16" i="4"/>
  <c r="E16" i="4"/>
  <c r="M16" i="4" s="1"/>
  <c r="R16" i="4" s="1"/>
  <c r="U16" i="4" s="1"/>
  <c r="Q15" i="4"/>
  <c r="L15" i="4"/>
  <c r="E15" i="4"/>
  <c r="T14" i="4"/>
  <c r="S14" i="4"/>
  <c r="P14" i="4"/>
  <c r="O14" i="4"/>
  <c r="N14" i="4"/>
  <c r="K14" i="4"/>
  <c r="J14" i="4"/>
  <c r="I14" i="4"/>
  <c r="H14" i="4"/>
  <c r="G14" i="4"/>
  <c r="F14" i="4"/>
  <c r="D14" i="4"/>
  <c r="C14" i="4"/>
  <c r="E14" i="4" s="1"/>
  <c r="Q13" i="4"/>
  <c r="L13" i="4"/>
  <c r="E13" i="4"/>
  <c r="Q12" i="4"/>
  <c r="L12" i="4"/>
  <c r="E12" i="4"/>
  <c r="Q11" i="4"/>
  <c r="L11" i="4"/>
  <c r="E11" i="4"/>
  <c r="T10" i="4"/>
  <c r="S10" i="4"/>
  <c r="P10" i="4"/>
  <c r="O10" i="4"/>
  <c r="N10" i="4"/>
  <c r="K10" i="4"/>
  <c r="J10" i="4"/>
  <c r="I10" i="4"/>
  <c r="H10" i="4"/>
  <c r="G10" i="4"/>
  <c r="F10" i="4"/>
  <c r="D10" i="4"/>
  <c r="C10" i="4"/>
  <c r="Q9" i="4"/>
  <c r="L9" i="4"/>
  <c r="E9" i="4"/>
  <c r="Q8" i="4"/>
  <c r="L8" i="4"/>
  <c r="E8" i="4"/>
  <c r="Q7" i="4"/>
  <c r="L7" i="4"/>
  <c r="E7" i="4"/>
  <c r="M7" i="4" s="1"/>
  <c r="R7" i="4" s="1"/>
  <c r="U7" i="4" s="1"/>
  <c r="T6" i="4"/>
  <c r="S6" i="4"/>
  <c r="P6" i="4"/>
  <c r="O6" i="4"/>
  <c r="N6" i="4"/>
  <c r="K6" i="4"/>
  <c r="J6" i="4"/>
  <c r="I6" i="4"/>
  <c r="H6" i="4"/>
  <c r="G6" i="4"/>
  <c r="F6" i="4"/>
  <c r="D6" i="4"/>
  <c r="C6" i="4"/>
  <c r="Q5" i="4"/>
  <c r="L5" i="4"/>
  <c r="E5" i="4"/>
  <c r="Q4" i="4"/>
  <c r="L4" i="4"/>
  <c r="E4" i="4"/>
  <c r="M4" i="4" s="1"/>
  <c r="R4" i="4" s="1"/>
  <c r="U4" i="4" s="1"/>
  <c r="Q3" i="4"/>
  <c r="L3" i="4"/>
  <c r="E3" i="4"/>
  <c r="J14" i="2"/>
  <c r="J11" i="2"/>
  <c r="J8" i="2"/>
  <c r="F8" i="2"/>
  <c r="F14" i="2"/>
  <c r="F11" i="2"/>
  <c r="AH14" i="2"/>
  <c r="AH13" i="2"/>
  <c r="AH12" i="2"/>
  <c r="AH10" i="2"/>
  <c r="AH9" i="2"/>
  <c r="AH8" i="2"/>
  <c r="AD14" i="2"/>
  <c r="AD13" i="2"/>
  <c r="AD12" i="2"/>
  <c r="AD10" i="2"/>
  <c r="AD9" i="2"/>
  <c r="AD8" i="2"/>
  <c r="Z14" i="2"/>
  <c r="Z13" i="2"/>
  <c r="Z12" i="2"/>
  <c r="Z10" i="2"/>
  <c r="Z9" i="2"/>
  <c r="Z8" i="2"/>
  <c r="R14" i="2"/>
  <c r="R13" i="2"/>
  <c r="R11" i="2"/>
  <c r="R8" i="2"/>
  <c r="N14" i="2"/>
  <c r="N13" i="2"/>
  <c r="N11" i="2"/>
  <c r="N8" i="2"/>
  <c r="V5" i="1"/>
  <c r="V21" i="1"/>
  <c r="V20" i="1"/>
  <c r="V17" i="1"/>
  <c r="V16" i="1"/>
  <c r="V15" i="1"/>
  <c r="V12" i="1"/>
  <c r="V11" i="1"/>
  <c r="V10" i="1"/>
  <c r="V9" i="1"/>
  <c r="V8" i="1"/>
  <c r="V7" i="1"/>
  <c r="V4" i="1"/>
  <c r="V8" i="2"/>
  <c r="V14" i="2"/>
  <c r="V13" i="2"/>
  <c r="V12" i="2"/>
  <c r="V10" i="2"/>
  <c r="AX14" i="2"/>
  <c r="AX13" i="2"/>
  <c r="AX12" i="2"/>
  <c r="AX11" i="2"/>
  <c r="AX10" i="2"/>
  <c r="AX9" i="2"/>
  <c r="AX8" i="2"/>
  <c r="AT14" i="2"/>
  <c r="AT15" i="2" s="1"/>
  <c r="AT13" i="2"/>
  <c r="AT12" i="2"/>
  <c r="AT11" i="2"/>
  <c r="AT10" i="2"/>
  <c r="AT9" i="2"/>
  <c r="AT8" i="2"/>
  <c r="AP14" i="2"/>
  <c r="AP13" i="2"/>
  <c r="AP12" i="2"/>
  <c r="AP11" i="2"/>
  <c r="AP10" i="2"/>
  <c r="AP9" i="2"/>
  <c r="AP8" i="2"/>
  <c r="AL14" i="2"/>
  <c r="AL13" i="2"/>
  <c r="AL12" i="2"/>
  <c r="AL11" i="2"/>
  <c r="AL10" i="2"/>
  <c r="AL9" i="2"/>
  <c r="AL8" i="2"/>
  <c r="AX17" i="2"/>
  <c r="AT17" i="2"/>
  <c r="AP17" i="2"/>
  <c r="AL17" i="2"/>
  <c r="AH17" i="2"/>
  <c r="AD17" i="2"/>
  <c r="Z17" i="2"/>
  <c r="V17" i="2"/>
  <c r="R17" i="2"/>
  <c r="N17" i="2"/>
  <c r="J17" i="2"/>
  <c r="F17" i="2"/>
  <c r="D15" i="2"/>
  <c r="E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A15" i="2"/>
  <c r="AB15" i="2"/>
  <c r="AC15" i="2"/>
  <c r="AE15" i="2"/>
  <c r="AF15" i="2"/>
  <c r="AG15" i="2"/>
  <c r="AI15" i="2"/>
  <c r="AJ15" i="2"/>
  <c r="AK15" i="2"/>
  <c r="AM15" i="2"/>
  <c r="AN15" i="2"/>
  <c r="AO15" i="2"/>
  <c r="AQ15" i="2"/>
  <c r="AR15" i="2"/>
  <c r="AS15" i="2"/>
  <c r="AU15" i="2"/>
  <c r="AV15" i="2"/>
  <c r="AW15" i="2"/>
  <c r="AY15" i="2"/>
  <c r="AZ15" i="2"/>
  <c r="C15" i="2"/>
  <c r="AZ6" i="2"/>
  <c r="AY6" i="2"/>
  <c r="AW6" i="2"/>
  <c r="AV6" i="2"/>
  <c r="AU6" i="2"/>
  <c r="AS6" i="2"/>
  <c r="AR6" i="2"/>
  <c r="AQ6" i="2"/>
  <c r="AO6" i="2"/>
  <c r="AN6" i="2"/>
  <c r="AM6" i="2"/>
  <c r="AK6" i="2"/>
  <c r="AJ6" i="2"/>
  <c r="AI6" i="2"/>
  <c r="AG6" i="2"/>
  <c r="AF6" i="2"/>
  <c r="AE6" i="2"/>
  <c r="AC6" i="2"/>
  <c r="AB6" i="2"/>
  <c r="AA6" i="2"/>
  <c r="Y6" i="2"/>
  <c r="X6" i="2"/>
  <c r="W6" i="2"/>
  <c r="U6" i="2"/>
  <c r="T6" i="2"/>
  <c r="S6" i="2"/>
  <c r="Q6" i="2"/>
  <c r="P6" i="2"/>
  <c r="O6" i="2"/>
  <c r="M6" i="2"/>
  <c r="L6" i="2"/>
  <c r="K6" i="2"/>
  <c r="I6" i="2"/>
  <c r="H6" i="2"/>
  <c r="G6" i="2"/>
  <c r="E6" i="2"/>
  <c r="D6" i="2"/>
  <c r="C6" i="2"/>
  <c r="AX5" i="2"/>
  <c r="AT5" i="2"/>
  <c r="AP5" i="2"/>
  <c r="AL5" i="2"/>
  <c r="AH5" i="2"/>
  <c r="AD5" i="2"/>
  <c r="Z5" i="2"/>
  <c r="Z6" i="2" s="1"/>
  <c r="R5" i="2"/>
  <c r="N5" i="2"/>
  <c r="J5" i="2"/>
  <c r="F5" i="2"/>
  <c r="AX4" i="2"/>
  <c r="AT4" i="2"/>
  <c r="AT6" i="2" s="1"/>
  <c r="AP4" i="2"/>
  <c r="AP6" i="2" s="1"/>
  <c r="AL4" i="2"/>
  <c r="AL6" i="2" s="1"/>
  <c r="AH4" i="2"/>
  <c r="AD4" i="2"/>
  <c r="Z4" i="2"/>
  <c r="R4" i="2"/>
  <c r="R6" i="2" s="1"/>
  <c r="N4" i="2"/>
  <c r="N6" i="2" s="1"/>
  <c r="J4" i="2"/>
  <c r="J6" i="2" s="1"/>
  <c r="F4" i="2"/>
  <c r="F6" i="2" s="1"/>
  <c r="C19" i="1"/>
  <c r="J21" i="1"/>
  <c r="J20" i="1"/>
  <c r="J17" i="1"/>
  <c r="J16" i="1"/>
  <c r="J15" i="1"/>
  <c r="J12" i="1"/>
  <c r="J11" i="1"/>
  <c r="J10" i="1"/>
  <c r="J9" i="1"/>
  <c r="J8" i="1"/>
  <c r="J7" i="1"/>
  <c r="J5" i="1"/>
  <c r="J4" i="1"/>
  <c r="F21" i="1"/>
  <c r="F20" i="1"/>
  <c r="F17" i="1"/>
  <c r="F16" i="1"/>
  <c r="F15" i="1"/>
  <c r="F12" i="1"/>
  <c r="F11" i="1"/>
  <c r="F10" i="1"/>
  <c r="F9" i="1"/>
  <c r="F8" i="1"/>
  <c r="F7" i="1"/>
  <c r="F5" i="1"/>
  <c r="F4" i="1"/>
  <c r="F6" i="1" s="1"/>
  <c r="D18" i="1"/>
  <c r="E18" i="1"/>
  <c r="F18" i="1"/>
  <c r="G18" i="1"/>
  <c r="H18" i="1"/>
  <c r="I18" i="1"/>
  <c r="C18" i="1"/>
  <c r="D13" i="1"/>
  <c r="E13" i="1"/>
  <c r="G13" i="1"/>
  <c r="H13" i="1"/>
  <c r="I13" i="1"/>
  <c r="C13" i="1"/>
  <c r="D6" i="1"/>
  <c r="D14" i="1" s="1"/>
  <c r="D19" i="1" s="1"/>
  <c r="D22" i="1" s="1"/>
  <c r="E6" i="1"/>
  <c r="E14" i="1" s="1"/>
  <c r="G6" i="1"/>
  <c r="G14" i="1" s="1"/>
  <c r="H6" i="1"/>
  <c r="H14" i="1" s="1"/>
  <c r="I6" i="1"/>
  <c r="I14" i="1" s="1"/>
  <c r="C6" i="1"/>
  <c r="C14" i="1" s="1"/>
  <c r="AD10" i="1"/>
  <c r="AD13" i="1" s="1"/>
  <c r="V13" i="1"/>
  <c r="R21" i="1"/>
  <c r="R20" i="1"/>
  <c r="R17" i="1"/>
  <c r="R16" i="1"/>
  <c r="R18" i="1" s="1"/>
  <c r="R15" i="1"/>
  <c r="R12" i="1"/>
  <c r="R11" i="1"/>
  <c r="R10" i="1"/>
  <c r="R9" i="1"/>
  <c r="R8" i="1"/>
  <c r="R7" i="1"/>
  <c r="R5" i="1"/>
  <c r="R6" i="1" s="1"/>
  <c r="R14" i="1" s="1"/>
  <c r="R4" i="1"/>
  <c r="N21" i="1"/>
  <c r="N20" i="1"/>
  <c r="N17" i="1"/>
  <c r="N16" i="1"/>
  <c r="N15" i="1"/>
  <c r="N12" i="1"/>
  <c r="N11" i="1"/>
  <c r="N10" i="1"/>
  <c r="N9" i="1"/>
  <c r="N8" i="1"/>
  <c r="N13" i="1" s="1"/>
  <c r="N7" i="1"/>
  <c r="N5" i="1"/>
  <c r="N4" i="1"/>
  <c r="Z21" i="1"/>
  <c r="Z20" i="1"/>
  <c r="Z17" i="1"/>
  <c r="Z16" i="1"/>
  <c r="Z15" i="1"/>
  <c r="Z18" i="1" s="1"/>
  <c r="Z12" i="1"/>
  <c r="Z11" i="1"/>
  <c r="Z10" i="1"/>
  <c r="Z9" i="1"/>
  <c r="Z8" i="1"/>
  <c r="Z7" i="1"/>
  <c r="Z5" i="1"/>
  <c r="Z4" i="1"/>
  <c r="Z6" i="1" s="1"/>
  <c r="Z14" i="1" s="1"/>
  <c r="Y18" i="1"/>
  <c r="AD21" i="1"/>
  <c r="AD20" i="1"/>
  <c r="AD17" i="1"/>
  <c r="AD16" i="1"/>
  <c r="AD15" i="1"/>
  <c r="AD12" i="1"/>
  <c r="AD11" i="1"/>
  <c r="AD9" i="1"/>
  <c r="AD8" i="1"/>
  <c r="AD7" i="1"/>
  <c r="AD5" i="1"/>
  <c r="AD4" i="1"/>
  <c r="AC13" i="1"/>
  <c r="AH21" i="1"/>
  <c r="AH20" i="1"/>
  <c r="AH17" i="1"/>
  <c r="AH16" i="1"/>
  <c r="AH15" i="1"/>
  <c r="AH12" i="1"/>
  <c r="AH11" i="1"/>
  <c r="AH10" i="1"/>
  <c r="AH9" i="1"/>
  <c r="AH8" i="1"/>
  <c r="AH7" i="1"/>
  <c r="AH5" i="1"/>
  <c r="AH4" i="1"/>
  <c r="K18" i="1"/>
  <c r="L18" i="1"/>
  <c r="M18" i="1"/>
  <c r="N18" i="1"/>
  <c r="O18" i="1"/>
  <c r="P18" i="1"/>
  <c r="Q18" i="1"/>
  <c r="S18" i="1"/>
  <c r="T18" i="1"/>
  <c r="U18" i="1"/>
  <c r="V18" i="1"/>
  <c r="W18" i="1"/>
  <c r="X18" i="1"/>
  <c r="AA18" i="1"/>
  <c r="AB18" i="1"/>
  <c r="AC18" i="1"/>
  <c r="AE18" i="1"/>
  <c r="AF18" i="1"/>
  <c r="K13" i="1"/>
  <c r="L13" i="1"/>
  <c r="M13" i="1"/>
  <c r="O13" i="1"/>
  <c r="P13" i="1"/>
  <c r="Q13" i="1"/>
  <c r="R13" i="1"/>
  <c r="S13" i="1"/>
  <c r="T13" i="1"/>
  <c r="U13" i="1"/>
  <c r="W13" i="1"/>
  <c r="X13" i="1"/>
  <c r="Y13" i="1"/>
  <c r="Z13" i="1"/>
  <c r="AA13" i="1"/>
  <c r="AB13" i="1"/>
  <c r="AE13" i="1"/>
  <c r="K6" i="1"/>
  <c r="K14" i="1" s="1"/>
  <c r="K19" i="1" s="1"/>
  <c r="K22" i="1" s="1"/>
  <c r="L6" i="1"/>
  <c r="L14" i="1" s="1"/>
  <c r="L19" i="1" s="1"/>
  <c r="L22" i="1" s="1"/>
  <c r="M6" i="1"/>
  <c r="M14" i="1" s="1"/>
  <c r="M19" i="1" s="1"/>
  <c r="M22" i="1" s="1"/>
  <c r="N6" i="1"/>
  <c r="N14" i="1" s="1"/>
  <c r="N19" i="1" s="1"/>
  <c r="N22" i="1" s="1"/>
  <c r="O6" i="1"/>
  <c r="O14" i="1" s="1"/>
  <c r="O19" i="1" s="1"/>
  <c r="O22" i="1" s="1"/>
  <c r="P6" i="1"/>
  <c r="P14" i="1" s="1"/>
  <c r="Q6" i="1"/>
  <c r="Q14" i="1" s="1"/>
  <c r="S6" i="1"/>
  <c r="S14" i="1" s="1"/>
  <c r="T6" i="1"/>
  <c r="T14" i="1" s="1"/>
  <c r="U6" i="1"/>
  <c r="U14" i="1" s="1"/>
  <c r="V6" i="1"/>
  <c r="W6" i="1"/>
  <c r="W14" i="1" s="1"/>
  <c r="X6" i="1"/>
  <c r="X14" i="1" s="1"/>
  <c r="X19" i="1" s="1"/>
  <c r="X22" i="1" s="1"/>
  <c r="Y6" i="1"/>
  <c r="Y14" i="1" s="1"/>
  <c r="Y19" i="1" s="1"/>
  <c r="Y22" i="1" s="1"/>
  <c r="AA6" i="1"/>
  <c r="AA14" i="1" s="1"/>
  <c r="AA19" i="1" s="1"/>
  <c r="AA22" i="1" s="1"/>
  <c r="AB6" i="1"/>
  <c r="AB14" i="1" s="1"/>
  <c r="AB19" i="1" s="1"/>
  <c r="AB22" i="1" s="1"/>
  <c r="AC6" i="1"/>
  <c r="AC14" i="1" s="1"/>
  <c r="AD6" i="1"/>
  <c r="AE6" i="1"/>
  <c r="AE14" i="1" s="1"/>
  <c r="AL21" i="1"/>
  <c r="AL20" i="1"/>
  <c r="AL17" i="1"/>
  <c r="AL16" i="1"/>
  <c r="AL18" i="1" s="1"/>
  <c r="AL15" i="1"/>
  <c r="AL12" i="1"/>
  <c r="AL11" i="1"/>
  <c r="AL13" i="1" s="1"/>
  <c r="AL10" i="1"/>
  <c r="AL9" i="1"/>
  <c r="AL8" i="1"/>
  <c r="AL7" i="1"/>
  <c r="AL5" i="1"/>
  <c r="AL6" i="1" s="1"/>
  <c r="AL14" i="1" s="1"/>
  <c r="AL19" i="1" s="1"/>
  <c r="AL22" i="1" s="1"/>
  <c r="AL4" i="1"/>
  <c r="AG18" i="1"/>
  <c r="AH18" i="1"/>
  <c r="AI18" i="1"/>
  <c r="AJ18" i="1"/>
  <c r="AK18" i="1"/>
  <c r="J18" i="1"/>
  <c r="AF13" i="1"/>
  <c r="AG13" i="1"/>
  <c r="AH13" i="1"/>
  <c r="AI13" i="1"/>
  <c r="AJ13" i="1"/>
  <c r="AK13" i="1"/>
  <c r="J13" i="1"/>
  <c r="AF6" i="1"/>
  <c r="AF14" i="1" s="1"/>
  <c r="AG6" i="1"/>
  <c r="AG14" i="1" s="1"/>
  <c r="AH6" i="1"/>
  <c r="AH14" i="1" s="1"/>
  <c r="AI6" i="1"/>
  <c r="AI14" i="1" s="1"/>
  <c r="AI19" i="1" s="1"/>
  <c r="AI22" i="1" s="1"/>
  <c r="AJ6" i="1"/>
  <c r="AJ14" i="1" s="1"/>
  <c r="AJ19" i="1" s="1"/>
  <c r="AJ22" i="1" s="1"/>
  <c r="AK6" i="1"/>
  <c r="AK14" i="1" s="1"/>
  <c r="AK19" i="1" s="1"/>
  <c r="AK22" i="1" s="1"/>
  <c r="J6" i="1"/>
  <c r="J14" i="1" s="1"/>
  <c r="AT21" i="1"/>
  <c r="AT20" i="1"/>
  <c r="AT17" i="1"/>
  <c r="AT18" i="1" s="1"/>
  <c r="AT16" i="1"/>
  <c r="AT15" i="1"/>
  <c r="AT12" i="1"/>
  <c r="AT11" i="1"/>
  <c r="AT10" i="1"/>
  <c r="AT9" i="1"/>
  <c r="AT8" i="1"/>
  <c r="AT7" i="1"/>
  <c r="AT13" i="1" s="1"/>
  <c r="AT5" i="1"/>
  <c r="AT4" i="1"/>
  <c r="AP21" i="1"/>
  <c r="AP20" i="1"/>
  <c r="AP17" i="1"/>
  <c r="AP16" i="1"/>
  <c r="AP15" i="1"/>
  <c r="AP18" i="1" s="1"/>
  <c r="AP12" i="1"/>
  <c r="AP11" i="1"/>
  <c r="AP10" i="1"/>
  <c r="AP9" i="1"/>
  <c r="AP8" i="1"/>
  <c r="AP7" i="1"/>
  <c r="AP13" i="1" s="1"/>
  <c r="AP5" i="1"/>
  <c r="AP4" i="1"/>
  <c r="AP6" i="1" s="1"/>
  <c r="AP14" i="1" s="1"/>
  <c r="AP19" i="1" s="1"/>
  <c r="AP22" i="1" s="1"/>
  <c r="AN18" i="1"/>
  <c r="AO18" i="1"/>
  <c r="AQ18" i="1"/>
  <c r="AR18" i="1"/>
  <c r="AS18" i="1"/>
  <c r="AU18" i="1"/>
  <c r="AM18" i="1"/>
  <c r="AN13" i="1"/>
  <c r="AO13" i="1"/>
  <c r="AQ13" i="1"/>
  <c r="AR13" i="1"/>
  <c r="AS13" i="1"/>
  <c r="AU13" i="1"/>
  <c r="AM13" i="1"/>
  <c r="AN6" i="1"/>
  <c r="AN14" i="1" s="1"/>
  <c r="AN19" i="1" s="1"/>
  <c r="AN22" i="1" s="1"/>
  <c r="AO6" i="1"/>
  <c r="AO14" i="1" s="1"/>
  <c r="AO19" i="1" s="1"/>
  <c r="AO22" i="1" s="1"/>
  <c r="AQ6" i="1"/>
  <c r="AQ14" i="1" s="1"/>
  <c r="AQ19" i="1" s="1"/>
  <c r="AQ22" i="1" s="1"/>
  <c r="AR6" i="1"/>
  <c r="AS6" i="1"/>
  <c r="AS14" i="1" s="1"/>
  <c r="AS19" i="1" s="1"/>
  <c r="AS22" i="1" s="1"/>
  <c r="AT6" i="1"/>
  <c r="AU6" i="1"/>
  <c r="AM6" i="1"/>
  <c r="AM14" i="1" s="1"/>
  <c r="AM19" i="1" s="1"/>
  <c r="AM22" i="1" s="1"/>
  <c r="AX21" i="1"/>
  <c r="AX20" i="1"/>
  <c r="AX16" i="1"/>
  <c r="AX17" i="1"/>
  <c r="AX15" i="1"/>
  <c r="AX18" i="1" s="1"/>
  <c r="AX5" i="1"/>
  <c r="AX6" i="1" s="1"/>
  <c r="AX14" i="1" s="1"/>
  <c r="AX19" i="1" s="1"/>
  <c r="AX22" i="1" s="1"/>
  <c r="AX4" i="1"/>
  <c r="AX12" i="1"/>
  <c r="AX11" i="1"/>
  <c r="AX10" i="1"/>
  <c r="AX9" i="1"/>
  <c r="AX8" i="1"/>
  <c r="AX7" i="1"/>
  <c r="AW22" i="1"/>
  <c r="AV18" i="1"/>
  <c r="AW18" i="1"/>
  <c r="AY18" i="1"/>
  <c r="AZ18" i="1"/>
  <c r="AV13" i="1"/>
  <c r="AW13" i="1"/>
  <c r="AX13" i="1"/>
  <c r="AY13" i="1"/>
  <c r="AZ13" i="1"/>
  <c r="AV6" i="1"/>
  <c r="AV14" i="1" s="1"/>
  <c r="AV19" i="1" s="1"/>
  <c r="AV22" i="1" s="1"/>
  <c r="AW6" i="1"/>
  <c r="AY6" i="1"/>
  <c r="AZ6" i="1"/>
  <c r="AZ19" i="1" s="1"/>
  <c r="AZ22" i="1" s="1"/>
  <c r="AT7" i="6" l="1"/>
  <c r="AU7" i="6" s="1"/>
  <c r="AS30" i="6"/>
  <c r="L50" i="6"/>
  <c r="AT46" i="6"/>
  <c r="AU46" i="6" s="1"/>
  <c r="J46" i="6"/>
  <c r="AT33" i="6"/>
  <c r="AU33" i="6" s="1"/>
  <c r="AT45" i="6"/>
  <c r="AU45" i="6" s="1"/>
  <c r="AT6" i="6"/>
  <c r="AU6" i="6" s="1"/>
  <c r="AT27" i="6"/>
  <c r="AU27" i="6" s="1"/>
  <c r="AT19" i="6"/>
  <c r="AU19" i="6" s="1"/>
  <c r="AT29" i="6"/>
  <c r="AU29" i="6" s="1"/>
  <c r="E15" i="6"/>
  <c r="R15" i="6"/>
  <c r="L17" i="6"/>
  <c r="N17" i="6" s="1"/>
  <c r="J14" i="6"/>
  <c r="M31" i="6"/>
  <c r="J15" i="6"/>
  <c r="D17" i="6"/>
  <c r="E17" i="6" s="1"/>
  <c r="F17" i="6" s="1"/>
  <c r="F6" i="6"/>
  <c r="N12" i="6"/>
  <c r="M12" i="6"/>
  <c r="AQ10" i="6"/>
  <c r="N13" i="6"/>
  <c r="M13" i="6"/>
  <c r="Q23" i="6"/>
  <c r="D25" i="6"/>
  <c r="E25" i="6" s="1"/>
  <c r="F25" i="6" s="1"/>
  <c r="L27" i="6"/>
  <c r="M27" i="6" s="1"/>
  <c r="L26" i="6"/>
  <c r="H26" i="6"/>
  <c r="L25" i="6"/>
  <c r="H24" i="6"/>
  <c r="E23" i="6"/>
  <c r="F23" i="6" s="1"/>
  <c r="J22" i="6"/>
  <c r="H25" i="6"/>
  <c r="R23" i="6"/>
  <c r="D24" i="6"/>
  <c r="E24" i="6" s="1"/>
  <c r="F24" i="6" s="1"/>
  <c r="AS16" i="6"/>
  <c r="AS17" i="6"/>
  <c r="AT17" i="6" s="1"/>
  <c r="AU17" i="6" s="1"/>
  <c r="AS15" i="6"/>
  <c r="AT15" i="6" s="1"/>
  <c r="AU15" i="6" s="1"/>
  <c r="AS14" i="6"/>
  <c r="L24" i="6"/>
  <c r="N32" i="6"/>
  <c r="M32" i="6"/>
  <c r="W4" i="6"/>
  <c r="V5" i="6"/>
  <c r="L11" i="6"/>
  <c r="M11" i="6" s="1"/>
  <c r="H10" i="6"/>
  <c r="H9" i="6"/>
  <c r="H8" i="6"/>
  <c r="L10" i="6"/>
  <c r="L9" i="6"/>
  <c r="E7" i="6"/>
  <c r="F7" i="6" s="1"/>
  <c r="D8" i="6"/>
  <c r="E8" i="6" s="1"/>
  <c r="F8" i="6" s="1"/>
  <c r="D9" i="6"/>
  <c r="E9" i="6" s="1"/>
  <c r="F9" i="6" s="1"/>
  <c r="AT9" i="6"/>
  <c r="AU9" i="6" s="1"/>
  <c r="L15" i="6"/>
  <c r="Q11" i="6"/>
  <c r="D13" i="6"/>
  <c r="E13" i="6" s="1"/>
  <c r="F13" i="6" s="1"/>
  <c r="D12" i="6"/>
  <c r="E12" i="6" s="1"/>
  <c r="F12" i="6" s="1"/>
  <c r="E11" i="6"/>
  <c r="F11" i="6" s="1"/>
  <c r="H14" i="6"/>
  <c r="H13" i="6"/>
  <c r="H12" i="6"/>
  <c r="N11" i="6"/>
  <c r="I11" i="6"/>
  <c r="J10" i="6"/>
  <c r="L14" i="6"/>
  <c r="I23" i="6"/>
  <c r="L23" i="6"/>
  <c r="N23" i="6" s="1"/>
  <c r="H22" i="6"/>
  <c r="H21" i="6"/>
  <c r="H20" i="6"/>
  <c r="I19" i="6"/>
  <c r="J18" i="6"/>
  <c r="L21" i="6"/>
  <c r="AS25" i="6"/>
  <c r="AT25" i="6" s="1"/>
  <c r="AU25" i="6" s="1"/>
  <c r="AS24" i="6"/>
  <c r="AT26" i="6"/>
  <c r="AU26" i="6" s="1"/>
  <c r="Q31" i="6"/>
  <c r="D33" i="6"/>
  <c r="E33" i="6" s="1"/>
  <c r="F33" i="6" s="1"/>
  <c r="D32" i="6"/>
  <c r="E32" i="6" s="1"/>
  <c r="F32" i="6" s="1"/>
  <c r="E31" i="6"/>
  <c r="F31" i="6" s="1"/>
  <c r="L35" i="6"/>
  <c r="M35" i="6" s="1"/>
  <c r="H34" i="6"/>
  <c r="H33" i="6"/>
  <c r="H32" i="6"/>
  <c r="N31" i="6"/>
  <c r="I31" i="6"/>
  <c r="J30" i="6"/>
  <c r="L34" i="6"/>
  <c r="AS11" i="6"/>
  <c r="AS12" i="6"/>
  <c r="AT12" i="6" s="1"/>
  <c r="AU12" i="6" s="1"/>
  <c r="M17" i="6"/>
  <c r="I18" i="6"/>
  <c r="Q19" i="6"/>
  <c r="D20" i="6"/>
  <c r="E20" i="6" s="1"/>
  <c r="F20" i="6" s="1"/>
  <c r="AS22" i="6"/>
  <c r="AT21" i="6" s="1"/>
  <c r="AU21" i="6" s="1"/>
  <c r="AS23" i="6"/>
  <c r="AT23" i="6" s="1"/>
  <c r="AU23" i="6" s="1"/>
  <c r="R31" i="6"/>
  <c r="L33" i="6"/>
  <c r="Q15" i="6"/>
  <c r="F15" i="6"/>
  <c r="I15" i="6"/>
  <c r="D16" i="6"/>
  <c r="E16" i="6" s="1"/>
  <c r="F16" i="6" s="1"/>
  <c r="L16" i="6"/>
  <c r="H17" i="6"/>
  <c r="L18" i="6"/>
  <c r="AT18" i="6"/>
  <c r="AU18" i="6" s="1"/>
  <c r="E19" i="6"/>
  <c r="F19" i="6" s="1"/>
  <c r="L19" i="6"/>
  <c r="M19" i="6" s="1"/>
  <c r="R19" i="6"/>
  <c r="L20" i="6"/>
  <c r="L22" i="6"/>
  <c r="AT28" i="6"/>
  <c r="AU28" i="6" s="1"/>
  <c r="AT35" i="6"/>
  <c r="AU35" i="6" s="1"/>
  <c r="AT37" i="6"/>
  <c r="AU37" i="6" s="1"/>
  <c r="L42" i="6"/>
  <c r="L41" i="6"/>
  <c r="L40" i="6"/>
  <c r="R39" i="6"/>
  <c r="M39" i="6"/>
  <c r="D41" i="6"/>
  <c r="E41" i="6" s="1"/>
  <c r="F41" i="6" s="1"/>
  <c r="D40" i="6"/>
  <c r="E40" i="6" s="1"/>
  <c r="F40" i="6" s="1"/>
  <c r="L43" i="6"/>
  <c r="N43" i="6" s="1"/>
  <c r="H42" i="6"/>
  <c r="H41" i="6"/>
  <c r="H40" i="6"/>
  <c r="Q39" i="6"/>
  <c r="E39" i="6"/>
  <c r="F39" i="6" s="1"/>
  <c r="I39" i="6"/>
  <c r="J38" i="6"/>
  <c r="R27" i="6"/>
  <c r="L28" i="6"/>
  <c r="Q28" i="6"/>
  <c r="L29" i="6"/>
  <c r="L30" i="6"/>
  <c r="AS31" i="6"/>
  <c r="AT30" i="6" s="1"/>
  <c r="AU30" i="6" s="1"/>
  <c r="AS32" i="6"/>
  <c r="AT32" i="6" s="1"/>
  <c r="AU32" i="6" s="1"/>
  <c r="R35" i="6"/>
  <c r="L36" i="6"/>
  <c r="L37" i="6"/>
  <c r="L38" i="6"/>
  <c r="AS41" i="6"/>
  <c r="AT41" i="6" s="1"/>
  <c r="AU41" i="6" s="1"/>
  <c r="AS40" i="6"/>
  <c r="N50" i="6"/>
  <c r="M50" i="6"/>
  <c r="J26" i="6"/>
  <c r="I27" i="6"/>
  <c r="N27" i="6"/>
  <c r="H28" i="6"/>
  <c r="H29" i="6"/>
  <c r="H30" i="6"/>
  <c r="J34" i="6"/>
  <c r="I35" i="6"/>
  <c r="N35" i="6"/>
  <c r="H36" i="6"/>
  <c r="H37" i="6"/>
  <c r="H38" i="6"/>
  <c r="AS39" i="6"/>
  <c r="AT39" i="6" s="1"/>
  <c r="AU39" i="6" s="1"/>
  <c r="Q43" i="6"/>
  <c r="I47" i="6"/>
  <c r="H48" i="6"/>
  <c r="H49" i="6"/>
  <c r="H50" i="6"/>
  <c r="L51" i="6"/>
  <c r="M51" i="6" s="1"/>
  <c r="Q51" i="6"/>
  <c r="AT51" i="6"/>
  <c r="AU51" i="6" s="1"/>
  <c r="R43" i="6"/>
  <c r="L44" i="6"/>
  <c r="L45" i="6"/>
  <c r="L46" i="6"/>
  <c r="D48" i="6"/>
  <c r="E48" i="6" s="1"/>
  <c r="F48" i="6" s="1"/>
  <c r="AS48" i="6"/>
  <c r="AT48" i="6" s="1"/>
  <c r="AU48" i="6" s="1"/>
  <c r="D49" i="6"/>
  <c r="E49" i="6" s="1"/>
  <c r="F49" i="6" s="1"/>
  <c r="AS49" i="6"/>
  <c r="AT49" i="6" s="1"/>
  <c r="AU49" i="6" s="1"/>
  <c r="R51" i="6"/>
  <c r="L52" i="6"/>
  <c r="L53" i="6"/>
  <c r="H44" i="6"/>
  <c r="H45" i="6"/>
  <c r="H46" i="6"/>
  <c r="F47" i="6"/>
  <c r="L47" i="6"/>
  <c r="N47" i="6" s="1"/>
  <c r="Q47" i="6"/>
  <c r="I51" i="6"/>
  <c r="H52" i="6"/>
  <c r="H53" i="6"/>
  <c r="E43" i="6"/>
  <c r="F43" i="6" s="1"/>
  <c r="AS43" i="6"/>
  <c r="D44" i="6"/>
  <c r="E44" i="6" s="1"/>
  <c r="F44" i="6" s="1"/>
  <c r="AS44" i="6"/>
  <c r="AT44" i="6" s="1"/>
  <c r="AU44" i="6" s="1"/>
  <c r="M47" i="6"/>
  <c r="R47" i="6"/>
  <c r="L48" i="6"/>
  <c r="L49" i="6"/>
  <c r="E51" i="6"/>
  <c r="F51" i="6" s="1"/>
  <c r="D52" i="6"/>
  <c r="E52" i="6" s="1"/>
  <c r="F52" i="6" s="1"/>
  <c r="D53" i="6"/>
  <c r="E53" i="6" s="1"/>
  <c r="F53" i="6" s="1"/>
  <c r="AX50" i="5"/>
  <c r="AX46" i="5"/>
  <c r="AX42" i="5"/>
  <c r="AX38" i="5"/>
  <c r="AX34" i="5"/>
  <c r="AX30" i="5"/>
  <c r="AX26" i="5"/>
  <c r="AX22" i="5"/>
  <c r="AX18" i="5"/>
  <c r="AX14" i="5"/>
  <c r="AX10" i="5"/>
  <c r="AX6" i="5"/>
  <c r="AU51" i="5"/>
  <c r="AS6" i="5"/>
  <c r="AX49" i="5"/>
  <c r="AX45" i="5"/>
  <c r="AX41" i="5"/>
  <c r="AX37" i="5"/>
  <c r="AX33" i="5"/>
  <c r="AX29" i="5"/>
  <c r="AX25" i="5"/>
  <c r="AX21" i="5"/>
  <c r="AX17" i="5"/>
  <c r="AX13" i="5"/>
  <c r="AX9" i="5"/>
  <c r="AX5" i="5"/>
  <c r="AX48" i="5"/>
  <c r="AX44" i="5"/>
  <c r="AX40" i="5"/>
  <c r="AX36" i="5"/>
  <c r="AX32" i="5"/>
  <c r="AX28" i="5"/>
  <c r="AX24" i="5"/>
  <c r="AX20" i="5"/>
  <c r="AX16" i="5"/>
  <c r="AX12" i="5"/>
  <c r="AX8" i="5"/>
  <c r="AQ52" i="5"/>
  <c r="AX47" i="5"/>
  <c r="AX43" i="5"/>
  <c r="AX39" i="5"/>
  <c r="AX35" i="5"/>
  <c r="AX31" i="5"/>
  <c r="AX27" i="5"/>
  <c r="AX23" i="5"/>
  <c r="AX19" i="5"/>
  <c r="AX15" i="5"/>
  <c r="AX11" i="5"/>
  <c r="AX7" i="5"/>
  <c r="AT25" i="5"/>
  <c r="AU25" i="5" s="1"/>
  <c r="AS41" i="5"/>
  <c r="AT41" i="5" s="1"/>
  <c r="AU41" i="5" s="1"/>
  <c r="AS39" i="5"/>
  <c r="AT38" i="5" s="1"/>
  <c r="AU38" i="5" s="1"/>
  <c r="AT9" i="5"/>
  <c r="AU9" i="5" s="1"/>
  <c r="AS23" i="5"/>
  <c r="AS22" i="5"/>
  <c r="AS33" i="5"/>
  <c r="AT33" i="5" s="1"/>
  <c r="AU33" i="5" s="1"/>
  <c r="AS31" i="5"/>
  <c r="AT30" i="5" s="1"/>
  <c r="AU30" i="5" s="1"/>
  <c r="AS7" i="5"/>
  <c r="AS29" i="5"/>
  <c r="AT29" i="5" s="1"/>
  <c r="AU29" i="5" s="1"/>
  <c r="AS49" i="5"/>
  <c r="AT49" i="5" s="1"/>
  <c r="AU49" i="5" s="1"/>
  <c r="AS17" i="5"/>
  <c r="AT17" i="5" s="1"/>
  <c r="AU17" i="5" s="1"/>
  <c r="AS48" i="5"/>
  <c r="AS40" i="5"/>
  <c r="AS32" i="5"/>
  <c r="AS24" i="5"/>
  <c r="AT24" i="5" s="1"/>
  <c r="AU24" i="5" s="1"/>
  <c r="AS16" i="5"/>
  <c r="AT15" i="5" s="1"/>
  <c r="AU15" i="5" s="1"/>
  <c r="AS8" i="5"/>
  <c r="AT8" i="5" s="1"/>
  <c r="AU8" i="5" s="1"/>
  <c r="AS44" i="5"/>
  <c r="AS36" i="5"/>
  <c r="AS28" i="5"/>
  <c r="AS20" i="5"/>
  <c r="AS12" i="5"/>
  <c r="AS37" i="5"/>
  <c r="AT37" i="5" s="1"/>
  <c r="AU37" i="5" s="1"/>
  <c r="AS13" i="5"/>
  <c r="AS43" i="5"/>
  <c r="AS35" i="5"/>
  <c r="AS27" i="5"/>
  <c r="AS19" i="5"/>
  <c r="AS11" i="5"/>
  <c r="AS46" i="5"/>
  <c r="AT46" i="5" s="1"/>
  <c r="AU46" i="5" s="1"/>
  <c r="AS14" i="5"/>
  <c r="AT14" i="5" s="1"/>
  <c r="AU14" i="5" s="1"/>
  <c r="AS45" i="5"/>
  <c r="AS21" i="5"/>
  <c r="P53" i="5"/>
  <c r="P26" i="5"/>
  <c r="R26" i="5" s="1"/>
  <c r="H29" i="5"/>
  <c r="I29" i="5" s="1"/>
  <c r="L16" i="5"/>
  <c r="M16" i="5" s="1"/>
  <c r="H49" i="5"/>
  <c r="H48" i="5"/>
  <c r="D48" i="5"/>
  <c r="E48" i="5" s="1"/>
  <c r="F48" i="5" s="1"/>
  <c r="L24" i="5"/>
  <c r="M24" i="5" s="1"/>
  <c r="Q27" i="5"/>
  <c r="I47" i="5"/>
  <c r="D24" i="5"/>
  <c r="E24" i="5" s="1"/>
  <c r="F24" i="5" s="1"/>
  <c r="H17" i="5"/>
  <c r="P16" i="5"/>
  <c r="D49" i="5"/>
  <c r="E49" i="5" s="1"/>
  <c r="F49" i="5" s="1"/>
  <c r="L29" i="5"/>
  <c r="H30" i="5"/>
  <c r="H16" i="5"/>
  <c r="I16" i="5" s="1"/>
  <c r="L27" i="5"/>
  <c r="M27" i="5" s="1"/>
  <c r="P17" i="5"/>
  <c r="D17" i="5"/>
  <c r="E17" i="5" s="1"/>
  <c r="F17" i="5" s="1"/>
  <c r="E47" i="5"/>
  <c r="F47" i="5" s="1"/>
  <c r="I27" i="5"/>
  <c r="Q51" i="5"/>
  <c r="P25" i="5"/>
  <c r="I39" i="5"/>
  <c r="D16" i="5"/>
  <c r="E16" i="5" s="1"/>
  <c r="F16" i="5" s="1"/>
  <c r="E15" i="5"/>
  <c r="F15" i="5" s="1"/>
  <c r="H22" i="5"/>
  <c r="L31" i="5"/>
  <c r="N31" i="5" s="1"/>
  <c r="P24" i="5"/>
  <c r="D25" i="5"/>
  <c r="E25" i="5" s="1"/>
  <c r="F25" i="5" s="1"/>
  <c r="L30" i="5"/>
  <c r="N30" i="5" s="1"/>
  <c r="M40" i="5"/>
  <c r="N40" i="5"/>
  <c r="E31" i="5"/>
  <c r="F31" i="5" s="1"/>
  <c r="P41" i="5"/>
  <c r="I15" i="5"/>
  <c r="P8" i="5"/>
  <c r="D32" i="5"/>
  <c r="E32" i="5" s="1"/>
  <c r="F32" i="5" s="1"/>
  <c r="H25" i="5"/>
  <c r="L53" i="5"/>
  <c r="L23" i="5"/>
  <c r="M23" i="5" s="1"/>
  <c r="P50" i="5"/>
  <c r="P42" i="5"/>
  <c r="D33" i="5"/>
  <c r="E33" i="5" s="1"/>
  <c r="F33" i="5" s="1"/>
  <c r="D41" i="5"/>
  <c r="E41" i="5" s="1"/>
  <c r="F41" i="5" s="1"/>
  <c r="D9" i="5"/>
  <c r="E9" i="5" s="1"/>
  <c r="F9" i="5" s="1"/>
  <c r="E23" i="5"/>
  <c r="F23" i="5" s="1"/>
  <c r="H33" i="5"/>
  <c r="I33" i="5" s="1"/>
  <c r="H9" i="5"/>
  <c r="L48" i="5"/>
  <c r="M48" i="5" s="1"/>
  <c r="L22" i="5"/>
  <c r="N22" i="5" s="1"/>
  <c r="P49" i="5"/>
  <c r="P33" i="5"/>
  <c r="Q19" i="5"/>
  <c r="D40" i="5"/>
  <c r="E40" i="5" s="1"/>
  <c r="F40" i="5" s="1"/>
  <c r="H32" i="5"/>
  <c r="I23" i="5"/>
  <c r="P32" i="5"/>
  <c r="N38" i="5"/>
  <c r="M38" i="5"/>
  <c r="N13" i="5"/>
  <c r="M13" i="5"/>
  <c r="H14" i="5"/>
  <c r="L47" i="5"/>
  <c r="N47" i="5" s="1"/>
  <c r="L46" i="5"/>
  <c r="L45" i="5"/>
  <c r="L14" i="5"/>
  <c r="L10" i="5"/>
  <c r="L11" i="5"/>
  <c r="M11" i="5" s="1"/>
  <c r="L9" i="5"/>
  <c r="H10" i="5"/>
  <c r="L42" i="5"/>
  <c r="L43" i="5"/>
  <c r="N43" i="5" s="1"/>
  <c r="L41" i="5"/>
  <c r="H42" i="5"/>
  <c r="H38" i="5"/>
  <c r="I31" i="5"/>
  <c r="L32" i="5"/>
  <c r="P9" i="5"/>
  <c r="W4" i="5"/>
  <c r="V5" i="5"/>
  <c r="X4" i="5"/>
  <c r="P45" i="5"/>
  <c r="D45" i="5"/>
  <c r="E45" i="5" s="1"/>
  <c r="F45" i="5" s="1"/>
  <c r="P46" i="5"/>
  <c r="I43" i="5"/>
  <c r="H44" i="5"/>
  <c r="L44" i="5"/>
  <c r="H45" i="5"/>
  <c r="P44" i="5"/>
  <c r="E43" i="5"/>
  <c r="F43" i="5" s="1"/>
  <c r="D44" i="5"/>
  <c r="E44" i="5" s="1"/>
  <c r="F44" i="5" s="1"/>
  <c r="I24" i="5"/>
  <c r="D8" i="5"/>
  <c r="E8" i="5" s="1"/>
  <c r="F8" i="5" s="1"/>
  <c r="H41" i="5"/>
  <c r="I7" i="5"/>
  <c r="L39" i="5"/>
  <c r="N39" i="5" s="1"/>
  <c r="P40" i="5"/>
  <c r="Q43" i="5"/>
  <c r="H46" i="5"/>
  <c r="L34" i="5"/>
  <c r="L35" i="5"/>
  <c r="M35" i="5" s="1"/>
  <c r="L33" i="5"/>
  <c r="H34" i="5"/>
  <c r="E39" i="5"/>
  <c r="F39" i="5" s="1"/>
  <c r="E7" i="5"/>
  <c r="H40" i="5"/>
  <c r="L8" i="5"/>
  <c r="M21" i="5"/>
  <c r="Q11" i="5"/>
  <c r="P13" i="5"/>
  <c r="D13" i="5"/>
  <c r="E13" i="5" s="1"/>
  <c r="F13" i="5" s="1"/>
  <c r="P14" i="5"/>
  <c r="I11" i="5"/>
  <c r="H12" i="5"/>
  <c r="L12" i="5"/>
  <c r="H13" i="5"/>
  <c r="P12" i="5"/>
  <c r="E11" i="5"/>
  <c r="F11" i="5" s="1"/>
  <c r="D12" i="5"/>
  <c r="E12" i="5" s="1"/>
  <c r="F12" i="5" s="1"/>
  <c r="L15" i="5"/>
  <c r="N15" i="5" s="1"/>
  <c r="I8" i="5"/>
  <c r="P37" i="5"/>
  <c r="D37" i="5"/>
  <c r="E37" i="5" s="1"/>
  <c r="F37" i="5" s="1"/>
  <c r="P38" i="5"/>
  <c r="I35" i="5"/>
  <c r="H36" i="5"/>
  <c r="L36" i="5"/>
  <c r="H37" i="5"/>
  <c r="P36" i="5"/>
  <c r="E35" i="5"/>
  <c r="F35" i="5" s="1"/>
  <c r="D36" i="5"/>
  <c r="E36" i="5" s="1"/>
  <c r="F36" i="5" s="1"/>
  <c r="L37" i="5"/>
  <c r="Q35" i="5"/>
  <c r="P10" i="5"/>
  <c r="R7" i="5"/>
  <c r="D52" i="5"/>
  <c r="E52" i="5" s="1"/>
  <c r="F52" i="5" s="1"/>
  <c r="D28" i="5"/>
  <c r="E28" i="5" s="1"/>
  <c r="F28" i="5" s="1"/>
  <c r="D20" i="5"/>
  <c r="E20" i="5" s="1"/>
  <c r="F20" i="5" s="1"/>
  <c r="E51" i="5"/>
  <c r="F51" i="5" s="1"/>
  <c r="E27" i="5"/>
  <c r="F27" i="5" s="1"/>
  <c r="E19" i="5"/>
  <c r="F19" i="5" s="1"/>
  <c r="H50" i="5"/>
  <c r="H26" i="5"/>
  <c r="H18" i="5"/>
  <c r="L49" i="5"/>
  <c r="L25" i="5"/>
  <c r="L17" i="5"/>
  <c r="P52" i="5"/>
  <c r="P28" i="5"/>
  <c r="P20" i="5"/>
  <c r="P54" i="5"/>
  <c r="H53" i="5"/>
  <c r="H21" i="5"/>
  <c r="L52" i="5"/>
  <c r="L28" i="5"/>
  <c r="L20" i="5"/>
  <c r="R47" i="5"/>
  <c r="R39" i="5"/>
  <c r="R31" i="5"/>
  <c r="R23" i="5"/>
  <c r="R15" i="5"/>
  <c r="H52" i="5"/>
  <c r="I51" i="5"/>
  <c r="I19" i="5"/>
  <c r="L51" i="5"/>
  <c r="M51" i="5" s="1"/>
  <c r="L19" i="5"/>
  <c r="M19" i="5" s="1"/>
  <c r="P30" i="5"/>
  <c r="Q30" i="5" s="1"/>
  <c r="P22" i="5"/>
  <c r="H20" i="5"/>
  <c r="D53" i="5"/>
  <c r="E53" i="5" s="1"/>
  <c r="F53" i="5" s="1"/>
  <c r="D29" i="5"/>
  <c r="E29" i="5" s="1"/>
  <c r="F29" i="5" s="1"/>
  <c r="D21" i="5"/>
  <c r="E21" i="5" s="1"/>
  <c r="F21" i="5" s="1"/>
  <c r="L50" i="5"/>
  <c r="L26" i="5"/>
  <c r="L18" i="5"/>
  <c r="P29" i="5"/>
  <c r="P21" i="5"/>
  <c r="F6" i="5"/>
  <c r="Q7" i="5"/>
  <c r="R34" i="5"/>
  <c r="R27" i="5"/>
  <c r="R51" i="5"/>
  <c r="R19" i="5"/>
  <c r="Q48" i="5"/>
  <c r="Q23" i="5"/>
  <c r="R18" i="5"/>
  <c r="Q47" i="5"/>
  <c r="R43" i="5"/>
  <c r="R11" i="5"/>
  <c r="Q15" i="5"/>
  <c r="Q39" i="5"/>
  <c r="Q31" i="5"/>
  <c r="R35" i="5"/>
  <c r="M3" i="4"/>
  <c r="R3" i="4" s="1"/>
  <c r="U3" i="4" s="1"/>
  <c r="M17" i="4"/>
  <c r="R17" i="4" s="1"/>
  <c r="U17" i="4" s="1"/>
  <c r="M19" i="4"/>
  <c r="R19" i="4" s="1"/>
  <c r="U19" i="4" s="1"/>
  <c r="M49" i="4"/>
  <c r="Q6" i="4"/>
  <c r="M8" i="4"/>
  <c r="R8" i="4" s="1"/>
  <c r="U8" i="4" s="1"/>
  <c r="L10" i="4"/>
  <c r="Q22" i="4"/>
  <c r="E38" i="4"/>
  <c r="Q38" i="4"/>
  <c r="M40" i="4"/>
  <c r="R40" i="4" s="1"/>
  <c r="U40" i="4" s="1"/>
  <c r="Q34" i="4"/>
  <c r="M9" i="4"/>
  <c r="R9" i="4" s="1"/>
  <c r="U9" i="4" s="1"/>
  <c r="M25" i="4"/>
  <c r="R25" i="4" s="1"/>
  <c r="U25" i="4" s="1"/>
  <c r="M27" i="4"/>
  <c r="R27" i="4" s="1"/>
  <c r="U27" i="4" s="1"/>
  <c r="M41" i="4"/>
  <c r="R41" i="4" s="1"/>
  <c r="U41" i="4" s="1"/>
  <c r="M43" i="4"/>
  <c r="R43" i="4" s="1"/>
  <c r="U43" i="4" s="1"/>
  <c r="E50" i="4"/>
  <c r="Q50" i="4"/>
  <c r="M28" i="4"/>
  <c r="R28" i="4" s="1"/>
  <c r="U28" i="4" s="1"/>
  <c r="Q42" i="4"/>
  <c r="M44" i="4"/>
  <c r="R44" i="4" s="1"/>
  <c r="U44" i="4" s="1"/>
  <c r="E22" i="4"/>
  <c r="M45" i="4"/>
  <c r="R45" i="4" s="1"/>
  <c r="U45" i="4" s="1"/>
  <c r="L42" i="4"/>
  <c r="L50" i="4"/>
  <c r="M33" i="4"/>
  <c r="R33" i="4" s="1"/>
  <c r="U33" i="4" s="1"/>
  <c r="M13" i="4"/>
  <c r="R13" i="4" s="1"/>
  <c r="U13" i="4" s="1"/>
  <c r="L26" i="4"/>
  <c r="M26" i="4" s="1"/>
  <c r="R26" i="4" s="1"/>
  <c r="U26" i="4" s="1"/>
  <c r="M21" i="4"/>
  <c r="R21" i="4" s="1"/>
  <c r="U21" i="4" s="1"/>
  <c r="M37" i="4"/>
  <c r="R37" i="4" s="1"/>
  <c r="U37" i="4" s="1"/>
  <c r="M24" i="4"/>
  <c r="R24" i="4" s="1"/>
  <c r="U24" i="4" s="1"/>
  <c r="L38" i="4"/>
  <c r="M38" i="4" s="1"/>
  <c r="R38" i="4" s="1"/>
  <c r="U38" i="4" s="1"/>
  <c r="M47" i="4"/>
  <c r="R47" i="4" s="1"/>
  <c r="U47" i="4" s="1"/>
  <c r="E6" i="4"/>
  <c r="E10" i="4"/>
  <c r="Q10" i="4"/>
  <c r="M12" i="4"/>
  <c r="R12" i="4" s="1"/>
  <c r="U12" i="4" s="1"/>
  <c r="Q14" i="4"/>
  <c r="Q18" i="4"/>
  <c r="L22" i="4"/>
  <c r="Q26" i="4"/>
  <c r="M35" i="4"/>
  <c r="R35" i="4" s="1"/>
  <c r="U35" i="4" s="1"/>
  <c r="M39" i="4"/>
  <c r="R39" i="4" s="1"/>
  <c r="U39" i="4" s="1"/>
  <c r="M51" i="4"/>
  <c r="R51" i="4" s="1"/>
  <c r="U51" i="4" s="1"/>
  <c r="Q46" i="4"/>
  <c r="M23" i="4"/>
  <c r="R23" i="4" s="1"/>
  <c r="U23" i="4" s="1"/>
  <c r="L46" i="4"/>
  <c r="M46" i="4" s="1"/>
  <c r="R46" i="4" s="1"/>
  <c r="U46" i="4" s="1"/>
  <c r="M52" i="4"/>
  <c r="R52" i="4" s="1"/>
  <c r="U52" i="4" s="1"/>
  <c r="E42" i="4"/>
  <c r="M42" i="4" s="1"/>
  <c r="R42" i="4" s="1"/>
  <c r="U42" i="4" s="1"/>
  <c r="L30" i="4"/>
  <c r="L14" i="4"/>
  <c r="M14" i="4" s="1"/>
  <c r="R14" i="4" s="1"/>
  <c r="U14" i="4" s="1"/>
  <c r="M50" i="4"/>
  <c r="R50" i="4" s="1"/>
  <c r="U50" i="4" s="1"/>
  <c r="M5" i="4"/>
  <c r="R5" i="4" s="1"/>
  <c r="U5" i="4" s="1"/>
  <c r="L6" i="4"/>
  <c r="M11" i="4"/>
  <c r="R11" i="4" s="1"/>
  <c r="U11" i="4" s="1"/>
  <c r="M15" i="4"/>
  <c r="R15" i="4" s="1"/>
  <c r="U15" i="4" s="1"/>
  <c r="L18" i="4"/>
  <c r="M18" i="4" s="1"/>
  <c r="R18" i="4" s="1"/>
  <c r="U18" i="4" s="1"/>
  <c r="E30" i="4"/>
  <c r="Q30" i="4"/>
  <c r="M32" i="4"/>
  <c r="R32" i="4" s="1"/>
  <c r="U32" i="4" s="1"/>
  <c r="L34" i="4"/>
  <c r="M34" i="4" s="1"/>
  <c r="R34" i="4" s="1"/>
  <c r="U34" i="4" s="1"/>
  <c r="F15" i="2"/>
  <c r="AH15" i="2"/>
  <c r="AD15" i="2"/>
  <c r="Z15" i="2"/>
  <c r="V14" i="1"/>
  <c r="V19" i="1" s="1"/>
  <c r="AX15" i="2"/>
  <c r="AP15" i="2"/>
  <c r="AL15" i="2"/>
  <c r="AH6" i="2"/>
  <c r="AX6" i="2"/>
  <c r="V6" i="2"/>
  <c r="AD6" i="2"/>
  <c r="C22" i="1"/>
  <c r="Z19" i="1"/>
  <c r="Z22" i="1" s="1"/>
  <c r="W19" i="1"/>
  <c r="W22" i="1" s="1"/>
  <c r="AD14" i="1"/>
  <c r="AD19" i="1" s="1"/>
  <c r="AD22" i="1" s="1"/>
  <c r="AD23" i="1" s="1"/>
  <c r="AW14" i="1"/>
  <c r="AT14" i="1"/>
  <c r="AT19" i="1" s="1"/>
  <c r="AT22" i="1" s="1"/>
  <c r="AU14" i="1"/>
  <c r="AU19" i="1" s="1"/>
  <c r="AU22" i="1" s="1"/>
  <c r="AX23" i="1" s="1"/>
  <c r="V22" i="1"/>
  <c r="V23" i="1" s="1"/>
  <c r="U19" i="1"/>
  <c r="U22" i="1" s="1"/>
  <c r="AY14" i="1"/>
  <c r="AY19" i="1" s="1"/>
  <c r="AY22" i="1" s="1"/>
  <c r="AR14" i="1"/>
  <c r="AR19" i="1" s="1"/>
  <c r="AR22" i="1" s="1"/>
  <c r="T19" i="1"/>
  <c r="T22" i="1" s="1"/>
  <c r="AC19" i="1"/>
  <c r="AC22" i="1" s="1"/>
  <c r="S19" i="1"/>
  <c r="S22" i="1" s="1"/>
  <c r="R19" i="1"/>
  <c r="R22" i="1" s="1"/>
  <c r="P19" i="1"/>
  <c r="P22" i="1" s="1"/>
  <c r="Q19" i="1"/>
  <c r="Q22" i="1" s="1"/>
  <c r="J19" i="1"/>
  <c r="J22" i="1" s="1"/>
  <c r="I19" i="1"/>
  <c r="I22" i="1" s="1"/>
  <c r="H19" i="1"/>
  <c r="H22" i="1" s="1"/>
  <c r="G19" i="1"/>
  <c r="G22" i="1" s="1"/>
  <c r="F13" i="1"/>
  <c r="F14" i="1" s="1"/>
  <c r="E19" i="1"/>
  <c r="E22" i="1" s="1"/>
  <c r="AH19" i="1"/>
  <c r="AH22" i="1" s="1"/>
  <c r="AG19" i="1"/>
  <c r="AG22" i="1" s="1"/>
  <c r="AF19" i="1"/>
  <c r="AF22" i="1" s="1"/>
  <c r="AE19" i="1"/>
  <c r="AE22" i="1" s="1"/>
  <c r="AH23" i="1" s="1"/>
  <c r="Z23" i="1"/>
  <c r="AP23" i="1"/>
  <c r="AT23" i="1"/>
  <c r="AL23" i="1"/>
  <c r="AD18" i="1"/>
  <c r="N23" i="1"/>
  <c r="AT11" i="5" l="1"/>
  <c r="AU11" i="5" s="1"/>
  <c r="AT40" i="5"/>
  <c r="AU40" i="5" s="1"/>
  <c r="AT19" i="5"/>
  <c r="AU19" i="5" s="1"/>
  <c r="AT16" i="6"/>
  <c r="AU16" i="6" s="1"/>
  <c r="AM4" i="6" s="1"/>
  <c r="AT11" i="6"/>
  <c r="AU11" i="6" s="1"/>
  <c r="M43" i="6"/>
  <c r="I53" i="6"/>
  <c r="J52" i="6"/>
  <c r="N48" i="6"/>
  <c r="M48" i="6"/>
  <c r="N51" i="6"/>
  <c r="Q48" i="6"/>
  <c r="R48" i="6"/>
  <c r="N53" i="6"/>
  <c r="M53" i="6"/>
  <c r="N45" i="6"/>
  <c r="M45" i="6"/>
  <c r="J49" i="6"/>
  <c r="I50" i="6"/>
  <c r="J35" i="6"/>
  <c r="I36" i="6"/>
  <c r="J29" i="6"/>
  <c r="I30" i="6"/>
  <c r="M38" i="6"/>
  <c r="N38" i="6"/>
  <c r="M30" i="6"/>
  <c r="N30" i="6"/>
  <c r="R36" i="6"/>
  <c r="Q36" i="6"/>
  <c r="J41" i="6"/>
  <c r="I42" i="6"/>
  <c r="M20" i="6"/>
  <c r="N20" i="6"/>
  <c r="N33" i="6"/>
  <c r="M33" i="6"/>
  <c r="N34" i="6"/>
  <c r="M34" i="6"/>
  <c r="I32" i="6"/>
  <c r="J31" i="6"/>
  <c r="R32" i="6"/>
  <c r="Q32" i="6"/>
  <c r="M21" i="6"/>
  <c r="N21" i="6"/>
  <c r="I22" i="6"/>
  <c r="J21" i="6"/>
  <c r="J12" i="6"/>
  <c r="I13" i="6"/>
  <c r="R14" i="6"/>
  <c r="Q14" i="6"/>
  <c r="M8" i="6"/>
  <c r="N8" i="6"/>
  <c r="M23" i="6"/>
  <c r="Q24" i="6"/>
  <c r="R24" i="6"/>
  <c r="Q50" i="6"/>
  <c r="R50" i="6"/>
  <c r="I46" i="6"/>
  <c r="J45" i="6"/>
  <c r="N52" i="6"/>
  <c r="M52" i="6"/>
  <c r="N44" i="6"/>
  <c r="M44" i="6"/>
  <c r="R53" i="6"/>
  <c r="Q53" i="6"/>
  <c r="J48" i="6"/>
  <c r="I49" i="6"/>
  <c r="R46" i="6"/>
  <c r="Q46" i="6"/>
  <c r="J28" i="6"/>
  <c r="I29" i="6"/>
  <c r="AT40" i="6"/>
  <c r="AU40" i="6" s="1"/>
  <c r="M37" i="6"/>
  <c r="N37" i="6"/>
  <c r="M29" i="6"/>
  <c r="N29" i="6"/>
  <c r="R30" i="6"/>
  <c r="Q30" i="6"/>
  <c r="Q40" i="6"/>
  <c r="R40" i="6"/>
  <c r="Q41" i="6"/>
  <c r="R41" i="6"/>
  <c r="N40" i="6"/>
  <c r="M40" i="6"/>
  <c r="M22" i="6"/>
  <c r="N22" i="6"/>
  <c r="N18" i="6"/>
  <c r="M18" i="6"/>
  <c r="R16" i="6"/>
  <c r="Q16" i="6"/>
  <c r="J32" i="6"/>
  <c r="I33" i="6"/>
  <c r="R33" i="6"/>
  <c r="Q33" i="6"/>
  <c r="AT24" i="6"/>
  <c r="AU24" i="6" s="1"/>
  <c r="R20" i="6"/>
  <c r="Q20" i="6"/>
  <c r="N19" i="6"/>
  <c r="J13" i="6"/>
  <c r="I14" i="6"/>
  <c r="N15" i="6"/>
  <c r="M15" i="6"/>
  <c r="M9" i="6"/>
  <c r="N9" i="6"/>
  <c r="J7" i="6"/>
  <c r="I8" i="6"/>
  <c r="V6" i="6"/>
  <c r="W5" i="6"/>
  <c r="X5" i="6"/>
  <c r="AT14" i="6"/>
  <c r="AU14" i="6" s="1"/>
  <c r="AT47" i="6"/>
  <c r="AU47" i="6" s="1"/>
  <c r="J24" i="6"/>
  <c r="I25" i="6"/>
  <c r="I24" i="6"/>
  <c r="J23" i="6"/>
  <c r="R25" i="6"/>
  <c r="Q25" i="6"/>
  <c r="R9" i="6"/>
  <c r="Q9" i="6"/>
  <c r="I45" i="6"/>
  <c r="J44" i="6"/>
  <c r="R52" i="6"/>
  <c r="Q52" i="6"/>
  <c r="I48" i="6"/>
  <c r="J47" i="6"/>
  <c r="R45" i="6"/>
  <c r="Q45" i="6"/>
  <c r="J37" i="6"/>
  <c r="I38" i="6"/>
  <c r="I28" i="6"/>
  <c r="J27" i="6"/>
  <c r="M36" i="6"/>
  <c r="N36" i="6"/>
  <c r="R38" i="6"/>
  <c r="Q38" i="6"/>
  <c r="R29" i="6"/>
  <c r="Q29" i="6"/>
  <c r="I40" i="6"/>
  <c r="J39" i="6"/>
  <c r="Q42" i="6"/>
  <c r="R42" i="6"/>
  <c r="N41" i="6"/>
  <c r="M41" i="6"/>
  <c r="R21" i="6"/>
  <c r="Q21" i="6"/>
  <c r="J16" i="6"/>
  <c r="I17" i="6"/>
  <c r="R17" i="6"/>
  <c r="Q17" i="6"/>
  <c r="J33" i="6"/>
  <c r="I34" i="6"/>
  <c r="R34" i="6"/>
  <c r="Q34" i="6"/>
  <c r="J19" i="6"/>
  <c r="I20" i="6"/>
  <c r="R12" i="6"/>
  <c r="Q12" i="6"/>
  <c r="R10" i="6"/>
  <c r="Q10" i="6"/>
  <c r="M10" i="6"/>
  <c r="N10" i="6"/>
  <c r="J8" i="6"/>
  <c r="I9" i="6"/>
  <c r="AT10" i="6"/>
  <c r="AU10" i="6" s="1"/>
  <c r="N25" i="6"/>
  <c r="M25" i="6"/>
  <c r="N26" i="6"/>
  <c r="M26" i="6"/>
  <c r="R26" i="6"/>
  <c r="Q26" i="6"/>
  <c r="AQ11" i="6"/>
  <c r="E3" i="6"/>
  <c r="N49" i="6"/>
  <c r="M49" i="6"/>
  <c r="AT42" i="6"/>
  <c r="AU42" i="6" s="1"/>
  <c r="AT43" i="6"/>
  <c r="AU43" i="6" s="1"/>
  <c r="I52" i="6"/>
  <c r="J51" i="6"/>
  <c r="Q49" i="6"/>
  <c r="R49" i="6"/>
  <c r="I44" i="6"/>
  <c r="J43" i="6"/>
  <c r="N46" i="6"/>
  <c r="M46" i="6"/>
  <c r="R44" i="6"/>
  <c r="Q44" i="6"/>
  <c r="J36" i="6"/>
  <c r="I37" i="6"/>
  <c r="AT31" i="6"/>
  <c r="AU31" i="6" s="1"/>
  <c r="M28" i="6"/>
  <c r="N28" i="6"/>
  <c r="R37" i="6"/>
  <c r="Q37" i="6"/>
  <c r="I41" i="6"/>
  <c r="J40" i="6"/>
  <c r="N42" i="6"/>
  <c r="M42" i="6"/>
  <c r="N16" i="6"/>
  <c r="M16" i="6"/>
  <c r="R18" i="6"/>
  <c r="Q18" i="6"/>
  <c r="AT22" i="6"/>
  <c r="AU22" i="6" s="1"/>
  <c r="AT38" i="6"/>
  <c r="AU38" i="6" s="1"/>
  <c r="R22" i="6"/>
  <c r="Q22" i="6"/>
  <c r="I21" i="6"/>
  <c r="J20" i="6"/>
  <c r="N14" i="6"/>
  <c r="M14" i="6"/>
  <c r="I12" i="6"/>
  <c r="J11" i="6"/>
  <c r="R13" i="6"/>
  <c r="Q13" i="6"/>
  <c r="I10" i="6"/>
  <c r="J9" i="6"/>
  <c r="AT13" i="6"/>
  <c r="AU13" i="6" s="1"/>
  <c r="AM5" i="6" s="1"/>
  <c r="N24" i="6"/>
  <c r="M24" i="6"/>
  <c r="J25" i="6"/>
  <c r="I26" i="6"/>
  <c r="R8" i="6"/>
  <c r="Q8" i="6"/>
  <c r="F3" i="6"/>
  <c r="AT22" i="5"/>
  <c r="AU22" i="5" s="1"/>
  <c r="AQ53" i="5"/>
  <c r="AX52" i="5"/>
  <c r="AS51" i="5"/>
  <c r="AT50" i="5" s="1"/>
  <c r="AU50" i="5" s="1"/>
  <c r="AT21" i="5"/>
  <c r="AU21" i="5" s="1"/>
  <c r="AT43" i="5"/>
  <c r="AU43" i="5" s="1"/>
  <c r="AT32" i="5"/>
  <c r="AU32" i="5" s="1"/>
  <c r="AT28" i="5"/>
  <c r="AU28" i="5" s="1"/>
  <c r="AT13" i="5"/>
  <c r="AU13" i="5" s="1"/>
  <c r="AT23" i="5"/>
  <c r="AU23" i="5" s="1"/>
  <c r="AT27" i="5"/>
  <c r="AU27" i="5" s="1"/>
  <c r="AT6" i="5"/>
  <c r="AU6" i="5" s="1"/>
  <c r="AT26" i="5"/>
  <c r="AU26" i="5" s="1"/>
  <c r="AT45" i="5"/>
  <c r="AU45" i="5" s="1"/>
  <c r="AT36" i="5"/>
  <c r="AU36" i="5" s="1"/>
  <c r="AT10" i="5"/>
  <c r="AU10" i="5" s="1"/>
  <c r="AT44" i="5"/>
  <c r="AU44" i="5" s="1"/>
  <c r="AT48" i="5"/>
  <c r="AU48" i="5" s="1"/>
  <c r="AT12" i="5"/>
  <c r="AU12" i="5" s="1"/>
  <c r="AT16" i="5"/>
  <c r="AU16" i="5" s="1"/>
  <c r="AT18" i="5"/>
  <c r="AU18" i="5" s="1"/>
  <c r="AT7" i="5"/>
  <c r="AU7" i="5" s="1"/>
  <c r="AT47" i="5"/>
  <c r="AU47" i="5" s="1"/>
  <c r="AT20" i="5"/>
  <c r="AU20" i="5" s="1"/>
  <c r="AT31" i="5"/>
  <c r="AU31" i="5" s="1"/>
  <c r="AT35" i="5"/>
  <c r="AU35" i="5" s="1"/>
  <c r="AT34" i="5"/>
  <c r="AU34" i="5" s="1"/>
  <c r="AT42" i="5"/>
  <c r="AU42" i="5" s="1"/>
  <c r="AT39" i="5"/>
  <c r="AU39" i="5" s="1"/>
  <c r="R14" i="5"/>
  <c r="N16" i="5"/>
  <c r="Q42" i="5"/>
  <c r="R24" i="5"/>
  <c r="R38" i="5"/>
  <c r="Q17" i="5"/>
  <c r="I49" i="5"/>
  <c r="R37" i="5"/>
  <c r="R44" i="5"/>
  <c r="I25" i="5"/>
  <c r="R20" i="5"/>
  <c r="Q9" i="5"/>
  <c r="R32" i="5"/>
  <c r="Q41" i="5"/>
  <c r="R28" i="5"/>
  <c r="R13" i="5"/>
  <c r="R52" i="5"/>
  <c r="R45" i="5"/>
  <c r="Q33" i="5"/>
  <c r="Q25" i="5"/>
  <c r="Q10" i="5"/>
  <c r="R16" i="5"/>
  <c r="R21" i="5"/>
  <c r="R46" i="5"/>
  <c r="Q50" i="5"/>
  <c r="R29" i="5"/>
  <c r="R12" i="5"/>
  <c r="R40" i="5"/>
  <c r="R22" i="5"/>
  <c r="R36" i="5"/>
  <c r="R30" i="5"/>
  <c r="I22" i="5"/>
  <c r="Q49" i="5"/>
  <c r="R8" i="5"/>
  <c r="Q26" i="5"/>
  <c r="M22" i="5"/>
  <c r="I48" i="5"/>
  <c r="R41" i="5"/>
  <c r="Q24" i="5"/>
  <c r="I9" i="5"/>
  <c r="Q16" i="5"/>
  <c r="M31" i="5"/>
  <c r="N24" i="5"/>
  <c r="Q8" i="5"/>
  <c r="I32" i="5"/>
  <c r="N11" i="5"/>
  <c r="Q44" i="5"/>
  <c r="R17" i="5"/>
  <c r="R49" i="5"/>
  <c r="I17" i="5"/>
  <c r="R25" i="5"/>
  <c r="Q13" i="5"/>
  <c r="M15" i="5"/>
  <c r="I30" i="5"/>
  <c r="Q32" i="5"/>
  <c r="R33" i="5"/>
  <c r="N27" i="5"/>
  <c r="Q22" i="5"/>
  <c r="Q45" i="5"/>
  <c r="Q52" i="5"/>
  <c r="R42" i="5"/>
  <c r="N48" i="5"/>
  <c r="M30" i="5"/>
  <c r="N29" i="5"/>
  <c r="M29" i="5"/>
  <c r="N51" i="5"/>
  <c r="N23" i="5"/>
  <c r="R9" i="5"/>
  <c r="Q21" i="5"/>
  <c r="Q38" i="5"/>
  <c r="Q28" i="5"/>
  <c r="M43" i="5"/>
  <c r="E3" i="5"/>
  <c r="Q14" i="5"/>
  <c r="R50" i="5"/>
  <c r="N35" i="5"/>
  <c r="Q40" i="5"/>
  <c r="Q12" i="5"/>
  <c r="M53" i="5"/>
  <c r="M47" i="5"/>
  <c r="M42" i="5"/>
  <c r="N42" i="5"/>
  <c r="R10" i="5"/>
  <c r="M26" i="5"/>
  <c r="N26" i="5"/>
  <c r="I46" i="5"/>
  <c r="I38" i="5"/>
  <c r="N28" i="5"/>
  <c r="M28" i="5"/>
  <c r="I50" i="5"/>
  <c r="N12" i="5"/>
  <c r="M12" i="5"/>
  <c r="I40" i="5"/>
  <c r="N44" i="5"/>
  <c r="M44" i="5"/>
  <c r="M32" i="5"/>
  <c r="N32" i="5"/>
  <c r="M10" i="5"/>
  <c r="N10" i="5"/>
  <c r="N46" i="5"/>
  <c r="M46" i="5"/>
  <c r="I14" i="5"/>
  <c r="I41" i="5"/>
  <c r="I44" i="5"/>
  <c r="I53" i="5"/>
  <c r="I34" i="5"/>
  <c r="Q37" i="5"/>
  <c r="F7" i="5"/>
  <c r="F3" i="5" s="1"/>
  <c r="I10" i="5"/>
  <c r="I52" i="5"/>
  <c r="M49" i="5"/>
  <c r="N49" i="5"/>
  <c r="M41" i="5"/>
  <c r="N41" i="5"/>
  <c r="M9" i="5"/>
  <c r="N9" i="5"/>
  <c r="N45" i="5"/>
  <c r="M45" i="5"/>
  <c r="I12" i="5"/>
  <c r="M34" i="5"/>
  <c r="N34" i="5"/>
  <c r="M18" i="5"/>
  <c r="N18" i="5"/>
  <c r="I21" i="5"/>
  <c r="I37" i="5"/>
  <c r="W5" i="5"/>
  <c r="V6" i="5"/>
  <c r="X5" i="5"/>
  <c r="I20" i="5"/>
  <c r="M17" i="5"/>
  <c r="N17" i="5"/>
  <c r="N36" i="5"/>
  <c r="M36" i="5"/>
  <c r="M25" i="5"/>
  <c r="N25" i="5"/>
  <c r="M33" i="5"/>
  <c r="N33" i="5"/>
  <c r="I42" i="5"/>
  <c r="I18" i="5"/>
  <c r="M39" i="5"/>
  <c r="N52" i="5"/>
  <c r="M52" i="5"/>
  <c r="Q29" i="5"/>
  <c r="M50" i="5"/>
  <c r="N50" i="5"/>
  <c r="N37" i="5"/>
  <c r="M37" i="5"/>
  <c r="I36" i="5"/>
  <c r="N8" i="5"/>
  <c r="M8" i="5"/>
  <c r="N14" i="5"/>
  <c r="M14" i="5"/>
  <c r="Q36" i="5"/>
  <c r="R53" i="5"/>
  <c r="Q53" i="5"/>
  <c r="Q20" i="5"/>
  <c r="Q46" i="5"/>
  <c r="N20" i="5"/>
  <c r="M20" i="5"/>
  <c r="I26" i="5"/>
  <c r="N19" i="5"/>
  <c r="I13" i="5"/>
  <c r="I45" i="5"/>
  <c r="M10" i="4"/>
  <c r="R10" i="4" s="1"/>
  <c r="U10" i="4" s="1"/>
  <c r="M6" i="4"/>
  <c r="R6" i="4" s="1"/>
  <c r="U6" i="4" s="1"/>
  <c r="M22" i="4"/>
  <c r="R22" i="4" s="1"/>
  <c r="U22" i="4" s="1"/>
  <c r="M30" i="4"/>
  <c r="R30" i="4" s="1"/>
  <c r="U30" i="4" s="1"/>
  <c r="F19" i="1"/>
  <c r="F22" i="1" s="1"/>
  <c r="F23" i="1" s="1"/>
  <c r="R23" i="1"/>
  <c r="J23" i="1"/>
  <c r="AM5" i="5" l="1"/>
  <c r="AV29" i="5" s="1"/>
  <c r="AM4" i="5"/>
  <c r="AV36" i="5" s="1"/>
  <c r="AM7" i="6"/>
  <c r="AV47" i="6" s="1"/>
  <c r="AV52" i="6"/>
  <c r="AV44" i="6"/>
  <c r="AV48" i="6"/>
  <c r="AV40" i="6"/>
  <c r="AV36" i="6"/>
  <c r="AV28" i="6"/>
  <c r="AV20" i="6"/>
  <c r="AV32" i="6"/>
  <c r="AV8" i="6"/>
  <c r="AV24" i="6"/>
  <c r="AV16" i="6"/>
  <c r="AV12" i="6"/>
  <c r="AV4" i="6"/>
  <c r="AV53" i="6"/>
  <c r="AV45" i="6"/>
  <c r="AV49" i="6"/>
  <c r="AV41" i="6"/>
  <c r="AV37" i="6"/>
  <c r="AV29" i="6"/>
  <c r="AV21" i="6"/>
  <c r="AV33" i="6"/>
  <c r="AV17" i="6"/>
  <c r="AV9" i="6"/>
  <c r="AV5" i="6"/>
  <c r="AV25" i="6"/>
  <c r="AV13" i="6"/>
  <c r="V7" i="6"/>
  <c r="W6" i="6"/>
  <c r="X6" i="6"/>
  <c r="I3" i="6"/>
  <c r="AQ12" i="6"/>
  <c r="J3" i="6"/>
  <c r="M3" i="6"/>
  <c r="AV33" i="5"/>
  <c r="AM7" i="5"/>
  <c r="AV11" i="5" s="1"/>
  <c r="AM6" i="5"/>
  <c r="AV6" i="5" s="1"/>
  <c r="AX53" i="5"/>
  <c r="AS52" i="5"/>
  <c r="AQ54" i="5"/>
  <c r="AX54" i="5" s="1"/>
  <c r="R3" i="5"/>
  <c r="Q3" i="5"/>
  <c r="I3" i="5"/>
  <c r="V7" i="5"/>
  <c r="W6" i="5"/>
  <c r="X6" i="5"/>
  <c r="J3" i="5"/>
  <c r="N3" i="5"/>
  <c r="M3" i="5"/>
  <c r="AV40" i="5" l="1"/>
  <c r="AV21" i="5"/>
  <c r="AV9" i="5"/>
  <c r="AV37" i="5"/>
  <c r="AY37" i="5" s="1"/>
  <c r="AV17" i="5"/>
  <c r="AY17" i="5" s="1"/>
  <c r="AV13" i="5"/>
  <c r="AW13" i="5" s="1"/>
  <c r="AV25" i="5"/>
  <c r="AY25" i="5" s="1"/>
  <c r="AV53" i="5"/>
  <c r="AY53" i="5" s="1"/>
  <c r="AV49" i="5"/>
  <c r="AW49" i="5" s="1"/>
  <c r="AV32" i="5"/>
  <c r="AY32" i="5" s="1"/>
  <c r="AY13" i="5"/>
  <c r="AV41" i="5"/>
  <c r="AY41" i="5" s="1"/>
  <c r="AV5" i="5"/>
  <c r="AV45" i="5"/>
  <c r="AV7" i="6"/>
  <c r="AV43" i="6"/>
  <c r="AV19" i="6"/>
  <c r="AV12" i="5"/>
  <c r="AW12" i="5" s="1"/>
  <c r="AV20" i="5"/>
  <c r="AY20" i="5" s="1"/>
  <c r="AV4" i="5"/>
  <c r="AW4" i="5" s="1"/>
  <c r="AV8" i="5"/>
  <c r="AY8" i="5" s="1"/>
  <c r="AV14" i="5"/>
  <c r="AW14" i="5" s="1"/>
  <c r="AV42" i="5"/>
  <c r="AW42" i="5" s="1"/>
  <c r="AW17" i="5"/>
  <c r="AV28" i="5"/>
  <c r="AY28" i="5" s="1"/>
  <c r="AV10" i="5"/>
  <c r="AY10" i="5" s="1"/>
  <c r="AV50" i="5"/>
  <c r="AY50" i="5" s="1"/>
  <c r="AV54" i="5"/>
  <c r="AY54" i="5" s="1"/>
  <c r="AV52" i="5"/>
  <c r="AW52" i="5" s="1"/>
  <c r="AV48" i="5"/>
  <c r="AW48" i="5" s="1"/>
  <c r="AV16" i="5"/>
  <c r="AW16" i="5" s="1"/>
  <c r="AV44" i="5"/>
  <c r="AW44" i="5" s="1"/>
  <c r="AV24" i="5"/>
  <c r="AW24" i="5" s="1"/>
  <c r="AV18" i="5"/>
  <c r="AY18" i="5" s="1"/>
  <c r="AV15" i="6"/>
  <c r="AV27" i="6"/>
  <c r="AV51" i="6"/>
  <c r="AW51" i="6" s="1"/>
  <c r="AV23" i="6"/>
  <c r="AW23" i="6" s="1"/>
  <c r="AV31" i="6"/>
  <c r="AV35" i="6"/>
  <c r="AV11" i="6"/>
  <c r="AY11" i="6" s="1"/>
  <c r="AV39" i="6"/>
  <c r="AW39" i="6" s="1"/>
  <c r="AY5" i="6"/>
  <c r="AW5" i="6"/>
  <c r="AW21" i="6"/>
  <c r="AW49" i="6"/>
  <c r="AW47" i="6"/>
  <c r="AW12" i="6"/>
  <c r="AW32" i="6"/>
  <c r="AW40" i="6"/>
  <c r="X7" i="6"/>
  <c r="V8" i="6"/>
  <c r="W7" i="6"/>
  <c r="AY9" i="6"/>
  <c r="AW9" i="6"/>
  <c r="AW29" i="6"/>
  <c r="AW45" i="6"/>
  <c r="AY7" i="6"/>
  <c r="AW7" i="6"/>
  <c r="AW19" i="6"/>
  <c r="AW43" i="6"/>
  <c r="AW16" i="6"/>
  <c r="AW20" i="6"/>
  <c r="AW48" i="6"/>
  <c r="AW13" i="6"/>
  <c r="AW17" i="6"/>
  <c r="AW53" i="6"/>
  <c r="AW15" i="6"/>
  <c r="AW27" i="6"/>
  <c r="AW24" i="6"/>
  <c r="AW28" i="6"/>
  <c r="AW44" i="6"/>
  <c r="AW37" i="6"/>
  <c r="AY12" i="6"/>
  <c r="AQ13" i="6"/>
  <c r="AW25" i="6"/>
  <c r="AW33" i="6"/>
  <c r="AW41" i="6"/>
  <c r="AW31" i="6"/>
  <c r="AW35" i="6"/>
  <c r="AY4" i="6"/>
  <c r="AW4" i="6"/>
  <c r="AY8" i="6"/>
  <c r="AW8" i="6"/>
  <c r="AW36" i="6"/>
  <c r="AW52" i="6"/>
  <c r="AV27" i="5"/>
  <c r="AY27" i="5" s="1"/>
  <c r="AV35" i="5"/>
  <c r="AW35" i="5" s="1"/>
  <c r="AV15" i="5"/>
  <c r="AW15" i="5" s="1"/>
  <c r="AW21" i="5"/>
  <c r="AY21" i="5"/>
  <c r="AW37" i="5"/>
  <c r="AW33" i="5"/>
  <c r="AY33" i="5"/>
  <c r="AY44" i="5"/>
  <c r="AW36" i="5"/>
  <c r="AY36" i="5"/>
  <c r="AV43" i="5"/>
  <c r="AW43" i="5" s="1"/>
  <c r="AV23" i="5"/>
  <c r="AW23" i="5" s="1"/>
  <c r="AV7" i="5"/>
  <c r="AY7" i="5" s="1"/>
  <c r="AW25" i="5"/>
  <c r="AV34" i="5"/>
  <c r="AY34" i="5" s="1"/>
  <c r="AV38" i="5"/>
  <c r="AW38" i="5" s="1"/>
  <c r="AV46" i="5"/>
  <c r="AY46" i="5" s="1"/>
  <c r="AV19" i="5"/>
  <c r="AW19" i="5" s="1"/>
  <c r="AV47" i="5"/>
  <c r="AW47" i="5" s="1"/>
  <c r="AV31" i="5"/>
  <c r="AY31" i="5" s="1"/>
  <c r="AW41" i="5"/>
  <c r="AW5" i="5"/>
  <c r="AY5" i="5"/>
  <c r="AW29" i="5"/>
  <c r="AY29" i="5"/>
  <c r="AW32" i="5"/>
  <c r="AW8" i="5"/>
  <c r="AW53" i="5"/>
  <c r="AW40" i="5"/>
  <c r="AY40" i="5"/>
  <c r="AY4" i="5"/>
  <c r="AV30" i="5"/>
  <c r="AY30" i="5" s="1"/>
  <c r="AV26" i="5"/>
  <c r="AW26" i="5" s="1"/>
  <c r="AV22" i="5"/>
  <c r="AY22" i="5" s="1"/>
  <c r="AV51" i="5"/>
  <c r="AY51" i="5" s="1"/>
  <c r="AV39" i="5"/>
  <c r="AY39" i="5" s="1"/>
  <c r="AY49" i="5"/>
  <c r="AY14" i="5"/>
  <c r="AY47" i="5"/>
  <c r="AW6" i="5"/>
  <c r="AY6" i="5"/>
  <c r="AY15" i="5"/>
  <c r="AY38" i="5"/>
  <c r="AW11" i="5"/>
  <c r="AY11" i="5"/>
  <c r="V8" i="5"/>
  <c r="W7" i="5"/>
  <c r="X7" i="5"/>
  <c r="AY9" i="5" l="1"/>
  <c r="AW9" i="5"/>
  <c r="AY35" i="5"/>
  <c r="AY23" i="5"/>
  <c r="AW20" i="5"/>
  <c r="AY16" i="5"/>
  <c r="AY12" i="5"/>
  <c r="AY45" i="5"/>
  <c r="AW45" i="5"/>
  <c r="AW18" i="5"/>
  <c r="AW10" i="5"/>
  <c r="AW31" i="5"/>
  <c r="AY26" i="5"/>
  <c r="AW30" i="5"/>
  <c r="AY43" i="5"/>
  <c r="AW39" i="5"/>
  <c r="AW34" i="5"/>
  <c r="AW28" i="5"/>
  <c r="AW51" i="5"/>
  <c r="AW50" i="5"/>
  <c r="AY19" i="5"/>
  <c r="AY42" i="5"/>
  <c r="AY48" i="5"/>
  <c r="AW7" i="5"/>
  <c r="AY52" i="5"/>
  <c r="AY24" i="5"/>
  <c r="AW11" i="6"/>
  <c r="AQ14" i="6"/>
  <c r="AY13" i="6"/>
  <c r="X8" i="6"/>
  <c r="W8" i="6"/>
  <c r="V9" i="6"/>
  <c r="AW22" i="5"/>
  <c r="AW46" i="5"/>
  <c r="AW27" i="5"/>
  <c r="V9" i="5"/>
  <c r="X8" i="5"/>
  <c r="W8" i="5"/>
  <c r="X9" i="6" l="1"/>
  <c r="W9" i="6"/>
  <c r="V10" i="6"/>
  <c r="AQ15" i="6"/>
  <c r="V10" i="5"/>
  <c r="X9" i="5"/>
  <c r="W9" i="5"/>
  <c r="AY15" i="6" l="1"/>
  <c r="AQ16" i="6"/>
  <c r="X10" i="6"/>
  <c r="V11" i="6"/>
  <c r="W10" i="6"/>
  <c r="V11" i="5"/>
  <c r="X10" i="5"/>
  <c r="W10" i="5"/>
  <c r="W11" i="6" l="1"/>
  <c r="X11" i="6"/>
  <c r="V12" i="6"/>
  <c r="AY16" i="6"/>
  <c r="AQ17" i="6"/>
  <c r="V12" i="5"/>
  <c r="W11" i="5"/>
  <c r="X11" i="5"/>
  <c r="AY17" i="6" l="1"/>
  <c r="AQ18" i="6"/>
  <c r="W12" i="6"/>
  <c r="V13" i="6"/>
  <c r="X12" i="6"/>
  <c r="V13" i="5"/>
  <c r="W12" i="5"/>
  <c r="X12" i="5"/>
  <c r="W13" i="6" l="1"/>
  <c r="V14" i="6"/>
  <c r="X13" i="6"/>
  <c r="AQ19" i="6"/>
  <c r="V14" i="5"/>
  <c r="W13" i="5"/>
  <c r="X13" i="5"/>
  <c r="W14" i="6" l="1"/>
  <c r="V15" i="6"/>
  <c r="X14" i="6"/>
  <c r="AQ20" i="6"/>
  <c r="AY19" i="6"/>
  <c r="V15" i="5"/>
  <c r="W14" i="5"/>
  <c r="X14" i="5"/>
  <c r="AQ21" i="6" l="1"/>
  <c r="AY20" i="6"/>
  <c r="W15" i="6"/>
  <c r="V16" i="6"/>
  <c r="X15" i="6"/>
  <c r="V16" i="5"/>
  <c r="W15" i="5"/>
  <c r="X15" i="5"/>
  <c r="AQ22" i="6" l="1"/>
  <c r="AY21" i="6"/>
  <c r="W16" i="6"/>
  <c r="V17" i="6"/>
  <c r="X16" i="6"/>
  <c r="V17" i="5"/>
  <c r="X16" i="5"/>
  <c r="W16" i="5"/>
  <c r="W17" i="6" l="1"/>
  <c r="X17" i="6"/>
  <c r="V18" i="6"/>
  <c r="AQ23" i="6"/>
  <c r="V18" i="5"/>
  <c r="X17" i="5"/>
  <c r="W17" i="5"/>
  <c r="AY23" i="6" l="1"/>
  <c r="AQ24" i="6"/>
  <c r="V19" i="6"/>
  <c r="W18" i="6"/>
  <c r="X18" i="6"/>
  <c r="V19" i="5"/>
  <c r="X18" i="5"/>
  <c r="W18" i="5"/>
  <c r="W19" i="6" l="1"/>
  <c r="V20" i="6"/>
  <c r="X19" i="6"/>
  <c r="AY24" i="6"/>
  <c r="AQ25" i="6"/>
  <c r="V20" i="5"/>
  <c r="X19" i="5"/>
  <c r="W19" i="5"/>
  <c r="V21" i="6" l="1"/>
  <c r="X20" i="6"/>
  <c r="W20" i="6"/>
  <c r="AY25" i="6"/>
  <c r="AQ26" i="6"/>
  <c r="V21" i="5"/>
  <c r="W20" i="5"/>
  <c r="X20" i="5"/>
  <c r="AQ27" i="6" l="1"/>
  <c r="V22" i="6"/>
  <c r="X21" i="6"/>
  <c r="W21" i="6"/>
  <c r="V22" i="5"/>
  <c r="W21" i="5"/>
  <c r="X21" i="5"/>
  <c r="V23" i="6" l="1"/>
  <c r="X22" i="6"/>
  <c r="W22" i="6"/>
  <c r="AQ28" i="6"/>
  <c r="AY27" i="6"/>
  <c r="V23" i="5"/>
  <c r="W22" i="5"/>
  <c r="X22" i="5"/>
  <c r="AQ29" i="6" l="1"/>
  <c r="AY28" i="6"/>
  <c r="X23" i="6"/>
  <c r="W23" i="6"/>
  <c r="V24" i="6"/>
  <c r="V24" i="5"/>
  <c r="X23" i="5"/>
  <c r="W23" i="5"/>
  <c r="W24" i="6" l="1"/>
  <c r="V25" i="6"/>
  <c r="X24" i="6"/>
  <c r="AQ30" i="6"/>
  <c r="AY29" i="6"/>
  <c r="V25" i="5"/>
  <c r="X24" i="5"/>
  <c r="W24" i="5"/>
  <c r="AQ31" i="6" l="1"/>
  <c r="W25" i="6"/>
  <c r="V26" i="6"/>
  <c r="X25" i="6"/>
  <c r="V26" i="5"/>
  <c r="X25" i="5"/>
  <c r="W25" i="5"/>
  <c r="V27" i="6" l="1"/>
  <c r="W26" i="6"/>
  <c r="X26" i="6"/>
  <c r="AY31" i="6"/>
  <c r="AQ32" i="6"/>
  <c r="V27" i="5"/>
  <c r="X26" i="5"/>
  <c r="W26" i="5"/>
  <c r="AY32" i="6" l="1"/>
  <c r="AQ33" i="6"/>
  <c r="X27" i="6"/>
  <c r="V28" i="6"/>
  <c r="W27" i="6"/>
  <c r="V28" i="5"/>
  <c r="W27" i="5"/>
  <c r="X27" i="5"/>
  <c r="X28" i="6" l="1"/>
  <c r="W28" i="6"/>
  <c r="V29" i="6"/>
  <c r="AY33" i="6"/>
  <c r="AQ34" i="6"/>
  <c r="V29" i="5"/>
  <c r="W28" i="5"/>
  <c r="X28" i="5"/>
  <c r="X29" i="6" l="1"/>
  <c r="W29" i="6"/>
  <c r="V30" i="6"/>
  <c r="AQ35" i="6"/>
  <c r="V30" i="5"/>
  <c r="W29" i="5"/>
  <c r="X29" i="5"/>
  <c r="X30" i="6" l="1"/>
  <c r="V31" i="6"/>
  <c r="W30" i="6"/>
  <c r="AQ36" i="6"/>
  <c r="AY35" i="6"/>
  <c r="V31" i="5"/>
  <c r="W30" i="5"/>
  <c r="X30" i="5"/>
  <c r="AQ37" i="6" l="1"/>
  <c r="AY36" i="6"/>
  <c r="X31" i="6"/>
  <c r="V32" i="6"/>
  <c r="W31" i="6"/>
  <c r="V32" i="5"/>
  <c r="W31" i="5"/>
  <c r="X31" i="5"/>
  <c r="W32" i="6" l="1"/>
  <c r="V33" i="6"/>
  <c r="X32" i="6"/>
  <c r="AQ38" i="6"/>
  <c r="AY37" i="6"/>
  <c r="V33" i="5"/>
  <c r="X32" i="5"/>
  <c r="W32" i="5"/>
  <c r="AQ39" i="6" l="1"/>
  <c r="W33" i="6"/>
  <c r="V34" i="6"/>
  <c r="X33" i="6"/>
  <c r="V34" i="5"/>
  <c r="X33" i="5"/>
  <c r="W33" i="5"/>
  <c r="V35" i="6" l="1"/>
  <c r="W34" i="6"/>
  <c r="X34" i="6"/>
  <c r="AQ40" i="6"/>
  <c r="AY39" i="6"/>
  <c r="V35" i="5"/>
  <c r="X34" i="5"/>
  <c r="W34" i="5"/>
  <c r="AY40" i="6" l="1"/>
  <c r="AQ41" i="6"/>
  <c r="X35" i="6"/>
  <c r="W35" i="6"/>
  <c r="V36" i="6"/>
  <c r="V36" i="5"/>
  <c r="X35" i="5"/>
  <c r="W35" i="5"/>
  <c r="X36" i="6" l="1"/>
  <c r="W36" i="6"/>
  <c r="V37" i="6"/>
  <c r="AY41" i="6"/>
  <c r="AQ42" i="6"/>
  <c r="V37" i="5"/>
  <c r="W36" i="5"/>
  <c r="X36" i="5"/>
  <c r="X37" i="6" l="1"/>
  <c r="W37" i="6"/>
  <c r="V38" i="6"/>
  <c r="AQ43" i="6"/>
  <c r="V38" i="5"/>
  <c r="W37" i="5"/>
  <c r="X37" i="5"/>
  <c r="V39" i="6" l="1"/>
  <c r="X38" i="6"/>
  <c r="W38" i="6"/>
  <c r="AQ44" i="6"/>
  <c r="AY43" i="6"/>
  <c r="V39" i="5"/>
  <c r="W38" i="5"/>
  <c r="X38" i="5"/>
  <c r="AQ45" i="6" l="1"/>
  <c r="AY44" i="6"/>
  <c r="W39" i="6"/>
  <c r="V40" i="6"/>
  <c r="X39" i="6"/>
  <c r="V40" i="5"/>
  <c r="W39" i="5"/>
  <c r="X39" i="5"/>
  <c r="X40" i="6" l="1"/>
  <c r="V41" i="6"/>
  <c r="W40" i="6"/>
  <c r="AQ46" i="6"/>
  <c r="AY45" i="6"/>
  <c r="V41" i="5"/>
  <c r="X40" i="5"/>
  <c r="W40" i="5"/>
  <c r="AQ47" i="6" l="1"/>
  <c r="X41" i="6"/>
  <c r="W41" i="6"/>
  <c r="V42" i="6"/>
  <c r="V42" i="5"/>
  <c r="X41" i="5"/>
  <c r="W41" i="5"/>
  <c r="X42" i="6" l="1"/>
  <c r="V43" i="6"/>
  <c r="W42" i="6"/>
  <c r="AY47" i="6"/>
  <c r="AQ48" i="6"/>
  <c r="V43" i="5"/>
  <c r="X42" i="5"/>
  <c r="W42" i="5"/>
  <c r="X43" i="6" l="1"/>
  <c r="W43" i="6"/>
  <c r="V44" i="6"/>
  <c r="AY48" i="6"/>
  <c r="AQ49" i="6"/>
  <c r="V44" i="5"/>
  <c r="W43" i="5"/>
  <c r="X43" i="5"/>
  <c r="V45" i="6" l="1"/>
  <c r="X44" i="6"/>
  <c r="W44" i="6"/>
  <c r="AY49" i="6"/>
  <c r="AQ50" i="6"/>
  <c r="V45" i="5"/>
  <c r="W44" i="5"/>
  <c r="X44" i="5"/>
  <c r="AQ51" i="6" l="1"/>
  <c r="V46" i="6"/>
  <c r="X45" i="6"/>
  <c r="W45" i="6"/>
  <c r="V46" i="5"/>
  <c r="W45" i="5"/>
  <c r="X45" i="5"/>
  <c r="X46" i="6" l="1"/>
  <c r="V47" i="6"/>
  <c r="W46" i="6"/>
  <c r="AQ52" i="6"/>
  <c r="AY51" i="6"/>
  <c r="V47" i="5"/>
  <c r="W46" i="5"/>
  <c r="X46" i="5"/>
  <c r="V48" i="6" l="1"/>
  <c r="W47" i="6"/>
  <c r="X47" i="6"/>
  <c r="AQ53" i="6"/>
  <c r="AY52" i="6"/>
  <c r="AS52" i="6"/>
  <c r="AS51" i="6"/>
  <c r="AT50" i="6" s="1"/>
  <c r="AU50" i="6" s="1"/>
  <c r="AM6" i="6" s="1"/>
  <c r="V48" i="5"/>
  <c r="X47" i="5"/>
  <c r="W47" i="5"/>
  <c r="AV46" i="6" l="1"/>
  <c r="AV54" i="6"/>
  <c r="AV50" i="6"/>
  <c r="AV42" i="6"/>
  <c r="AV38" i="6"/>
  <c r="AV30" i="6"/>
  <c r="AV22" i="6"/>
  <c r="AV14" i="6"/>
  <c r="AV34" i="6"/>
  <c r="AV26" i="6"/>
  <c r="AV10" i="6"/>
  <c r="AV6" i="6"/>
  <c r="AV18" i="6"/>
  <c r="AQ54" i="6"/>
  <c r="X48" i="6"/>
  <c r="W48" i="6"/>
  <c r="V49" i="6"/>
  <c r="V49" i="5"/>
  <c r="X48" i="5"/>
  <c r="W48" i="5"/>
  <c r="AY42" i="6" l="1"/>
  <c r="AW42" i="6"/>
  <c r="AY22" i="6"/>
  <c r="AW22" i="6"/>
  <c r="AY6" i="6"/>
  <c r="AW6" i="6"/>
  <c r="AY50" i="6"/>
  <c r="AW50" i="6"/>
  <c r="AW26" i="6"/>
  <c r="AY26" i="6"/>
  <c r="AY30" i="6"/>
  <c r="AW30" i="6"/>
  <c r="AY54" i="6"/>
  <c r="AY14" i="6"/>
  <c r="AW14" i="6"/>
  <c r="AY10" i="6"/>
  <c r="AW10" i="6"/>
  <c r="X49" i="6"/>
  <c r="W49" i="6"/>
  <c r="V50" i="6"/>
  <c r="AY18" i="6"/>
  <c r="AW18" i="6"/>
  <c r="AW34" i="6"/>
  <c r="AY34" i="6"/>
  <c r="AY38" i="6"/>
  <c r="AW38" i="6"/>
  <c r="AW46" i="6"/>
  <c r="AY46" i="6"/>
  <c r="V50" i="5"/>
  <c r="X49" i="5"/>
  <c r="W49" i="5"/>
  <c r="X50" i="6" l="1"/>
  <c r="V51" i="6"/>
  <c r="W50" i="6"/>
  <c r="V51" i="5"/>
  <c r="X50" i="5"/>
  <c r="W50" i="5"/>
  <c r="V52" i="6" l="1"/>
  <c r="W51" i="6"/>
  <c r="X51" i="6"/>
  <c r="V52" i="5"/>
  <c r="X51" i="5"/>
  <c r="W51" i="5"/>
  <c r="V53" i="6" l="1"/>
  <c r="X52" i="6"/>
  <c r="W52" i="6"/>
  <c r="V53" i="5"/>
  <c r="W52" i="5"/>
  <c r="X52" i="5"/>
  <c r="X53" i="6" l="1"/>
  <c r="X3" i="6" s="1"/>
  <c r="W53" i="6"/>
  <c r="W3" i="6" s="1"/>
  <c r="W53" i="5"/>
  <c r="W3" i="5" s="1"/>
  <c r="X53" i="5"/>
  <c r="X3" i="5" s="1"/>
</calcChain>
</file>

<file path=xl/sharedStrings.xml><?xml version="1.0" encoding="utf-8"?>
<sst xmlns="http://schemas.openxmlformats.org/spreadsheetml/2006/main" count="496" uniqueCount="156">
  <si>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</si>
  <si>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</si>
  <si>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</si>
  <si>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</si>
  <si>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</si>
  <si>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</si>
  <si>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</si>
  <si>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</si>
  <si>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</si>
  <si>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</si>
  <si>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</si>
  <si>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</si>
  <si>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</si>
  <si>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</si>
  <si>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</si>
  <si>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</si>
  <si>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</si>
  <si>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</si>
  <si>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</si>
  <si>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</si>
  <si>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</si>
  <si>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</si>
  <si>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</si>
  <si>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</si>
  <si>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</si>
  <si>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</si>
  <si>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</si>
  <si>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</si>
  <si>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</si>
  <si>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</si>
  <si>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</si>
  <si>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</si>
  <si>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</si>
  <si>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</si>
  <si>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</si>
  <si>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</si>
  <si>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</si>
  <si>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</si>
  <si>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</si>
  <si>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</si>
  <si>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</si>
  <si>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</si>
  <si>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</si>
  <si>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</si>
  <si>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</si>
  <si>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</si>
  <si>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</si>
  <si>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</si>
  <si>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</si>
  <si>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</si>
  <si>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Net product sales</t>
  </si>
  <si>
    <t>Net service sales</t>
  </si>
  <si>
    <t>Total net sales</t>
  </si>
  <si>
    <t>Cost of sales</t>
  </si>
  <si>
    <t>Fulfillment</t>
  </si>
  <si>
    <t>Technology and infrustructure</t>
  </si>
  <si>
    <t>Sales and marketing</t>
  </si>
  <si>
    <t>General and administrative</t>
  </si>
  <si>
    <t>Other operating expense (income), net</t>
  </si>
  <si>
    <t>Total operating expenses</t>
  </si>
  <si>
    <t>Operating income</t>
  </si>
  <si>
    <t>interest income</t>
  </si>
  <si>
    <t>interest expense</t>
  </si>
  <si>
    <t>Other income (expense), net</t>
  </si>
  <si>
    <t>Total non-operating income (expense)</t>
  </si>
  <si>
    <t>Income before taxes</t>
  </si>
  <si>
    <t>Provision for income taxes</t>
  </si>
  <si>
    <t>Equity-method investment activity, net of tax</t>
  </si>
  <si>
    <t>Net income</t>
  </si>
  <si>
    <t>Online stores</t>
  </si>
  <si>
    <t>Physical stores</t>
  </si>
  <si>
    <t>Thrid-party seller services</t>
  </si>
  <si>
    <t>Advertising services</t>
  </si>
  <si>
    <t>Subscription services</t>
  </si>
  <si>
    <t>AWS</t>
  </si>
  <si>
    <t>Other</t>
  </si>
  <si>
    <t>Consolidated</t>
  </si>
  <si>
    <t>Sales</t>
  </si>
  <si>
    <t>Orders</t>
  </si>
  <si>
    <t>Quarter</t>
  </si>
  <si>
    <t>Time</t>
  </si>
  <si>
    <t>Predicted value</t>
  </si>
  <si>
    <t>Moving Average(2)</t>
  </si>
  <si>
    <t xml:space="preserve">Calculated </t>
  </si>
  <si>
    <t>MAD</t>
  </si>
  <si>
    <t>RMSE</t>
  </si>
  <si>
    <t>Moving Average(3)</t>
  </si>
  <si>
    <t>Moving Average(4)</t>
  </si>
  <si>
    <t>Predicted</t>
  </si>
  <si>
    <t>Weighted MA(3)</t>
  </si>
  <si>
    <t>Parameter</t>
  </si>
  <si>
    <t>w1</t>
  </si>
  <si>
    <t>w2</t>
  </si>
  <si>
    <t>w3</t>
  </si>
  <si>
    <t>Predicated</t>
  </si>
  <si>
    <t>Exponential smoothing</t>
  </si>
  <si>
    <t>Parameter (smoothing factor)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</si>
  <si>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</si>
  <si>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</si>
  <si>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</si>
  <si>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</si>
  <si>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</si>
  <si>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</si>
  <si>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</si>
  <si>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</si>
  <si>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</si>
  <si>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</si>
  <si>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</si>
  <si>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</si>
  <si>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</si>
  <si>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</si>
  <si>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</si>
  <si>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</si>
  <si>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</si>
  <si>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</si>
  <si>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</si>
  <si>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</si>
  <si>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</si>
  <si>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</si>
  <si>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</si>
  <si>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</si>
  <si>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</si>
  <si>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^ statistically significant </t>
  </si>
  <si>
    <t xml:space="preserve">&lt; the model fits the data </t>
  </si>
  <si>
    <t>MAD (Mean Absolute Deviation)</t>
  </si>
  <si>
    <t>RMSE (root mean square error)</t>
  </si>
  <si>
    <t>MA(4)</t>
  </si>
  <si>
    <t>CM(4)</t>
  </si>
  <si>
    <t>St, It</t>
  </si>
  <si>
    <t>St</t>
  </si>
  <si>
    <t>Q1</t>
  </si>
  <si>
    <t>Q2</t>
  </si>
  <si>
    <t>Q3</t>
  </si>
  <si>
    <t>Q4</t>
  </si>
  <si>
    <t>Year</t>
  </si>
  <si>
    <t>Deseasonality</t>
  </si>
  <si>
    <t>Tt</t>
  </si>
  <si>
    <t>Forecast</t>
  </si>
  <si>
    <t>&lt;Forecast</t>
  </si>
  <si>
    <t>Actual:</t>
  </si>
  <si>
    <t>Consolidated Statements of Operations: Data gathered from sec.gov Q10s</t>
  </si>
  <si>
    <t>Scroll down for Q3 2024 Net product sales</t>
  </si>
  <si>
    <t>X Variable 1</t>
  </si>
  <si>
    <t>&lt; Forecast</t>
  </si>
  <si>
    <t>&lt;Actual</t>
  </si>
  <si>
    <t>AMZN:AMAZON</t>
  </si>
  <si>
    <t>^</t>
  </si>
  <si>
    <t>Verification</t>
  </si>
  <si>
    <t>Consolidated Statements of Operations: validated data entries</t>
  </si>
  <si>
    <t>Transpose of AMZN data to implement in forecasts</t>
  </si>
  <si>
    <t>Scroll down for Q3 2024 fulfillment forecast output</t>
  </si>
  <si>
    <t>Delta</t>
  </si>
  <si>
    <t>&lt;Delta</t>
  </si>
  <si>
    <t>Delta:</t>
  </si>
  <si>
    <t>% delta</t>
  </si>
  <si>
    <t>Forecast: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</si>
</sst>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i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5F207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0" fontId="6" fillId="0" borderId="0" xfId="0" applyFont="1"/>
    <xf numFmtId="164" fontId="0" fillId="2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164" fontId="0" fillId="4" borderId="20" xfId="0" applyNumberFormat="1" applyFill="1" applyBorder="1" applyAlignment="1">
      <alignment horizontal="center" wrapText="1"/>
    </xf>
    <xf numFmtId="164" fontId="0" fillId="4" borderId="20" xfId="0" applyNumberFormat="1" applyFill="1" applyBorder="1" applyAlignment="1">
      <alignment horizontal="center"/>
    </xf>
    <xf numFmtId="0" fontId="0" fillId="2" borderId="0" xfId="0" applyFill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0" fillId="6" borderId="12" xfId="0" applyFill="1" applyBorder="1"/>
    <xf numFmtId="0" fontId="0" fillId="6" borderId="21" xfId="0" applyFill="1" applyBorder="1"/>
    <xf numFmtId="0" fontId="0" fillId="6" borderId="13" xfId="0" applyFill="1" applyBorder="1"/>
    <xf numFmtId="0" fontId="4" fillId="6" borderId="3" xfId="0" applyFont="1" applyFill="1" applyBorder="1" applyAlignment="1">
      <alignment horizontal="center"/>
    </xf>
    <xf numFmtId="0" fontId="0" fillId="6" borderId="1" xfId="0" applyFill="1" applyBorder="1"/>
    <xf numFmtId="0" fontId="0" fillId="6" borderId="23" xfId="0" applyFill="1" applyBorder="1"/>
    <xf numFmtId="0" fontId="4" fillId="6" borderId="22" xfId="0" applyFont="1" applyFill="1" applyBorder="1" applyAlignment="1">
      <alignment horizontal="center"/>
    </xf>
    <xf numFmtId="0" fontId="0" fillId="6" borderId="16" xfId="0" applyFill="1" applyBorder="1"/>
    <xf numFmtId="0" fontId="0" fillId="6" borderId="20" xfId="0" applyFill="1" applyBorder="1"/>
    <xf numFmtId="0" fontId="4" fillId="6" borderId="24" xfId="0" applyFont="1" applyFill="1" applyBorder="1" applyAlignment="1">
      <alignment horizontal="center"/>
    </xf>
    <xf numFmtId="0" fontId="0" fillId="6" borderId="25" xfId="0" applyFill="1" applyBorder="1"/>
    <xf numFmtId="0" fontId="0" fillId="6" borderId="17" xfId="0" applyFill="1" applyBorder="1"/>
    <xf numFmtId="0" fontId="7" fillId="0" borderId="0" xfId="0" applyFont="1" applyAlignment="1">
      <alignment horizontal="center"/>
    </xf>
    <xf numFmtId="0" fontId="5" fillId="0" borderId="0" xfId="0" applyFont="1"/>
    <xf numFmtId="0" fontId="0" fillId="6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1" xfId="0" applyFill="1" applyBorder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3" fillId="3" borderId="0" xfId="0" applyFont="1" applyFill="1"/>
    <xf numFmtId="0" fontId="7" fillId="0" borderId="12" xfId="0" applyFont="1" applyBorder="1" applyAlignment="1">
      <alignment horizontal="center"/>
    </xf>
    <xf numFmtId="0" fontId="7" fillId="4" borderId="13" xfId="0" applyFont="1" applyFill="1" applyBorder="1"/>
    <xf numFmtId="0" fontId="0" fillId="0" borderId="14" xfId="0" applyBorder="1" applyAlignment="1">
      <alignment horizontal="center"/>
    </xf>
    <xf numFmtId="164" fontId="0" fillId="0" borderId="14" xfId="0" applyNumberFormat="1" applyBorder="1"/>
    <xf numFmtId="164" fontId="0" fillId="2" borderId="15" xfId="0" applyNumberFormat="1" applyFill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7" xfId="0" applyNumberFormat="1" applyBorder="1"/>
    <xf numFmtId="164" fontId="0" fillId="4" borderId="12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 wrapText="1"/>
    </xf>
    <xf numFmtId="164" fontId="0" fillId="4" borderId="17" xfId="0" applyNumberFormat="1" applyFill="1" applyBorder="1" applyAlignment="1">
      <alignment horizontal="center" wrapText="1"/>
    </xf>
    <xf numFmtId="164" fontId="0" fillId="4" borderId="23" xfId="0" applyNumberFormat="1" applyFill="1" applyBorder="1" applyAlignment="1">
      <alignment horizontal="center" wrapText="1"/>
    </xf>
    <xf numFmtId="164" fontId="0" fillId="4" borderId="25" xfId="0" applyNumberFormat="1" applyFill="1" applyBorder="1" applyAlignment="1">
      <alignment horizontal="center" wrapText="1"/>
    </xf>
    <xf numFmtId="0" fontId="7" fillId="4" borderId="21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0" fillId="2" borderId="0" xfId="0" applyNumberFormat="1" applyFill="1"/>
    <xf numFmtId="0" fontId="7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20" xfId="0" applyBorder="1"/>
    <xf numFmtId="0" fontId="7" fillId="0" borderId="13" xfId="0" applyFont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4" borderId="20" xfId="0" applyFill="1" applyBorder="1"/>
    <xf numFmtId="0" fontId="0" fillId="3" borderId="20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4" fillId="6" borderId="8" xfId="0" applyFont="1" applyFill="1" applyBorder="1" applyAlignment="1">
      <alignment horizontal="centerContinuous"/>
    </xf>
    <xf numFmtId="0" fontId="4" fillId="6" borderId="3" xfId="0" applyFont="1" applyFill="1" applyBorder="1" applyAlignment="1">
      <alignment horizontal="centerContinuous"/>
    </xf>
    <xf numFmtId="0" fontId="0" fillId="6" borderId="9" xfId="0" applyFill="1" applyBorder="1"/>
    <xf numFmtId="0" fontId="4" fillId="6" borderId="8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/>
    <xf numFmtId="0" fontId="0" fillId="6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wrapText="1"/>
    </xf>
    <xf numFmtId="164" fontId="0" fillId="4" borderId="14" xfId="0" applyNumberFormat="1" applyFill="1" applyBorder="1" applyAlignment="1">
      <alignment horizontal="center" wrapText="1"/>
    </xf>
    <xf numFmtId="164" fontId="0" fillId="4" borderId="0" xfId="0" applyNumberFormat="1" applyFill="1" applyAlignment="1">
      <alignment horizontal="center" wrapText="1"/>
    </xf>
    <xf numFmtId="164" fontId="0" fillId="4" borderId="15" xfId="0" applyNumberFormat="1" applyFill="1" applyBorder="1" applyAlignment="1">
      <alignment horizontal="center" wrapText="1"/>
    </xf>
    <xf numFmtId="164" fontId="0" fillId="2" borderId="15" xfId="0" applyNumberForma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4" borderId="13" xfId="0" applyFont="1" applyFill="1" applyBorder="1" applyAlignment="1">
      <alignment horizontal="center"/>
    </xf>
    <xf numFmtId="0" fontId="7" fillId="4" borderId="0" xfId="0" applyFont="1" applyFill="1" applyAlignment="1">
      <alignment horizontal="center" wrapText="1"/>
    </xf>
    <xf numFmtId="0" fontId="7" fillId="4" borderId="15" xfId="0" applyFont="1" applyFill="1" applyBorder="1" applyAlignment="1">
      <alignment horizontal="center" wrapText="1"/>
    </xf>
    <xf numFmtId="164" fontId="0" fillId="4" borderId="14" xfId="0" applyNumberFormat="1" applyFill="1" applyBorder="1"/>
    <xf numFmtId="164" fontId="0" fillId="4" borderId="0" xfId="0" applyNumberFormat="1" applyFill="1"/>
    <xf numFmtId="164" fontId="0" fillId="4" borderId="20" xfId="0" applyNumberFormat="1" applyFill="1" applyBorder="1"/>
    <xf numFmtId="0" fontId="0" fillId="4" borderId="16" xfId="0" applyFill="1" applyBorder="1" applyAlignment="1">
      <alignment horizontal="center"/>
    </xf>
    <xf numFmtId="0" fontId="4" fillId="4" borderId="22" xfId="0" applyFont="1" applyFill="1" applyBorder="1" applyAlignment="1">
      <alignment horizontal="centerContinuous"/>
    </xf>
    <xf numFmtId="0" fontId="4" fillId="4" borderId="3" xfId="0" applyFont="1" applyFill="1" applyBorder="1" applyAlignment="1">
      <alignment horizontal="centerContinuous"/>
    </xf>
    <xf numFmtId="0" fontId="0" fillId="4" borderId="14" xfId="0" applyFill="1" applyBorder="1"/>
    <xf numFmtId="0" fontId="4" fillId="4" borderId="3" xfId="0" applyFont="1" applyFill="1" applyBorder="1" applyAlignment="1">
      <alignment horizontal="center"/>
    </xf>
    <xf numFmtId="0" fontId="0" fillId="4" borderId="6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9" xfId="0" applyBorder="1"/>
    <xf numFmtId="165" fontId="0" fillId="0" borderId="11" xfId="0" applyNumberFormat="1" applyBorder="1"/>
    <xf numFmtId="165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5F207"/>
      <color rgb="FFFFFD78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Sales,</a:t>
            </a:r>
            <a:r>
              <a:rPr lang="en-US" baseline="0"/>
              <a:t> Technology and Infrustructure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'AMZN operations'!$B$4</c:f>
              <c:strCache>
                <c:ptCount val="1"/>
                <c:pt idx="0">
                  <c:v>Net product sales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operations'!$C$4:$AZ$4</c:f>
              <c:numCache>
                <c:formatCode>General</c:formatCode>
                <c:ptCount val="50"/>
                <c:pt idx="0">
                  <c:v>11249</c:v>
                </c:pt>
                <c:pt idx="1">
                  <c:v>10791</c:v>
                </c:pt>
                <c:pt idx="2">
                  <c:v>11546</c:v>
                </c:pt>
                <c:pt idx="3">
                  <c:v>18147</c:v>
                </c:pt>
                <c:pt idx="4">
                  <c:v>13271</c:v>
                </c:pt>
                <c:pt idx="5">
                  <c:v>12752</c:v>
                </c:pt>
                <c:pt idx="6">
                  <c:v>13808</c:v>
                </c:pt>
                <c:pt idx="7">
                  <c:v>21072</c:v>
                </c:pt>
                <c:pt idx="8">
                  <c:v>15705</c:v>
                </c:pt>
                <c:pt idx="9">
                  <c:v>15251</c:v>
                </c:pt>
                <c:pt idx="10">
                  <c:v>16022</c:v>
                </c:pt>
                <c:pt idx="11">
                  <c:v>23102</c:v>
                </c:pt>
                <c:pt idx="12">
                  <c:v>17084</c:v>
                </c:pt>
                <c:pt idx="13">
                  <c:v>17104</c:v>
                </c:pt>
                <c:pt idx="14">
                  <c:v>18463</c:v>
                </c:pt>
                <c:pt idx="15">
                  <c:v>26617</c:v>
                </c:pt>
                <c:pt idx="16">
                  <c:v>20581</c:v>
                </c:pt>
                <c:pt idx="17">
                  <c:v>21116</c:v>
                </c:pt>
                <c:pt idx="18">
                  <c:v>22339</c:v>
                </c:pt>
                <c:pt idx="19">
                  <c:v>30629</c:v>
                </c:pt>
                <c:pt idx="20">
                  <c:v>23734</c:v>
                </c:pt>
                <c:pt idx="21">
                  <c:v>24745</c:v>
                </c:pt>
                <c:pt idx="22">
                  <c:v>28768</c:v>
                </c:pt>
                <c:pt idx="23">
                  <c:v>41326</c:v>
                </c:pt>
                <c:pt idx="24">
                  <c:v>31605</c:v>
                </c:pt>
                <c:pt idx="25">
                  <c:v>31864</c:v>
                </c:pt>
                <c:pt idx="26">
                  <c:v>33746</c:v>
                </c:pt>
                <c:pt idx="27">
                  <c:v>44700</c:v>
                </c:pt>
                <c:pt idx="28">
                  <c:v>34283</c:v>
                </c:pt>
                <c:pt idx="29">
                  <c:v>35856</c:v>
                </c:pt>
                <c:pt idx="30">
                  <c:v>39726</c:v>
                </c:pt>
                <c:pt idx="31">
                  <c:v>50543</c:v>
                </c:pt>
                <c:pt idx="32">
                  <c:v>41841</c:v>
                </c:pt>
                <c:pt idx="33">
                  <c:v>50244</c:v>
                </c:pt>
                <c:pt idx="34">
                  <c:v>52774</c:v>
                </c:pt>
                <c:pt idx="35">
                  <c:v>71056</c:v>
                </c:pt>
                <c:pt idx="36">
                  <c:v>57491</c:v>
                </c:pt>
                <c:pt idx="37">
                  <c:v>58004</c:v>
                </c:pt>
                <c:pt idx="38">
                  <c:v>54876</c:v>
                </c:pt>
                <c:pt idx="39">
                  <c:v>71416</c:v>
                </c:pt>
                <c:pt idx="40">
                  <c:v>56455</c:v>
                </c:pt>
                <c:pt idx="41">
                  <c:v>56575</c:v>
                </c:pt>
                <c:pt idx="42">
                  <c:v>59340</c:v>
                </c:pt>
                <c:pt idx="43">
                  <c:v>70531</c:v>
                </c:pt>
                <c:pt idx="44">
                  <c:v>56981</c:v>
                </c:pt>
                <c:pt idx="45">
                  <c:v>59032</c:v>
                </c:pt>
                <c:pt idx="46">
                  <c:v>63171</c:v>
                </c:pt>
                <c:pt idx="47">
                  <c:v>76703</c:v>
                </c:pt>
                <c:pt idx="48">
                  <c:v>60915</c:v>
                </c:pt>
                <c:pt idx="49">
                  <c:v>61569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F-B348-9D5A-D3C23D9711A4}"/>
            </c:ext>
          </c:extLst>
        </c:ser>
        <c:ser>
          <c:idx val="1"/>
          <c:order val="1"/>
          <c:tx>
            <c:strRef>
              <c:f>'AMZN operations'!$B$5</c:f>
              <c:strCache>
                <c:ptCount val="1"/>
                <c:pt idx="0">
                  <c:v>Net service sales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operations'!$C$5:$AZ$5</c:f>
              <c:numCache>
                <c:formatCode>General</c:formatCode>
                <c:ptCount val="50"/>
                <c:pt idx="0">
                  <c:v>1936</c:v>
                </c:pt>
                <c:pt idx="1">
                  <c:v>2043</c:v>
                </c:pt>
                <c:pt idx="2">
                  <c:v>2260</c:v>
                </c:pt>
                <c:pt idx="3">
                  <c:v>3121</c:v>
                </c:pt>
                <c:pt idx="4">
                  <c:v>2799</c:v>
                </c:pt>
                <c:pt idx="5">
                  <c:v>2952</c:v>
                </c:pt>
                <c:pt idx="6">
                  <c:v>3284</c:v>
                </c:pt>
                <c:pt idx="7">
                  <c:v>4514</c:v>
                </c:pt>
                <c:pt idx="8">
                  <c:v>4036</c:v>
                </c:pt>
                <c:pt idx="9">
                  <c:v>4089</c:v>
                </c:pt>
                <c:pt idx="10">
                  <c:v>4557</c:v>
                </c:pt>
                <c:pt idx="11">
                  <c:v>6226</c:v>
                </c:pt>
                <c:pt idx="12">
                  <c:v>5633</c:v>
                </c:pt>
                <c:pt idx="13">
                  <c:v>6081</c:v>
                </c:pt>
                <c:pt idx="14">
                  <c:v>6895</c:v>
                </c:pt>
                <c:pt idx="15">
                  <c:v>9129</c:v>
                </c:pt>
                <c:pt idx="16">
                  <c:v>8547</c:v>
                </c:pt>
                <c:pt idx="17">
                  <c:v>9288</c:v>
                </c:pt>
                <c:pt idx="18">
                  <c:v>10375</c:v>
                </c:pt>
                <c:pt idx="19">
                  <c:v>13112</c:v>
                </c:pt>
                <c:pt idx="20">
                  <c:v>11980</c:v>
                </c:pt>
                <c:pt idx="21">
                  <c:v>13210</c:v>
                </c:pt>
                <c:pt idx="22">
                  <c:v>14976</c:v>
                </c:pt>
                <c:pt idx="23">
                  <c:v>19127</c:v>
                </c:pt>
                <c:pt idx="24">
                  <c:v>19437</c:v>
                </c:pt>
                <c:pt idx="25">
                  <c:v>21022</c:v>
                </c:pt>
                <c:pt idx="26">
                  <c:v>22830</c:v>
                </c:pt>
                <c:pt idx="27">
                  <c:v>27683</c:v>
                </c:pt>
                <c:pt idx="28">
                  <c:v>25417</c:v>
                </c:pt>
                <c:pt idx="29">
                  <c:v>27548</c:v>
                </c:pt>
                <c:pt idx="30">
                  <c:v>30255</c:v>
                </c:pt>
                <c:pt idx="31">
                  <c:v>36894</c:v>
                </c:pt>
                <c:pt idx="32">
                  <c:v>33611</c:v>
                </c:pt>
                <c:pt idx="33">
                  <c:v>38668</c:v>
                </c:pt>
                <c:pt idx="34">
                  <c:v>43371</c:v>
                </c:pt>
                <c:pt idx="35">
                  <c:v>54499</c:v>
                </c:pt>
                <c:pt idx="36">
                  <c:v>51027</c:v>
                </c:pt>
                <c:pt idx="37">
                  <c:v>55076</c:v>
                </c:pt>
                <c:pt idx="38">
                  <c:v>55936</c:v>
                </c:pt>
                <c:pt idx="39">
                  <c:v>65996</c:v>
                </c:pt>
                <c:pt idx="40">
                  <c:v>59989</c:v>
                </c:pt>
                <c:pt idx="41">
                  <c:v>64659</c:v>
                </c:pt>
                <c:pt idx="42">
                  <c:v>67761</c:v>
                </c:pt>
                <c:pt idx="43">
                  <c:v>78673</c:v>
                </c:pt>
                <c:pt idx="44">
                  <c:v>70377</c:v>
                </c:pt>
                <c:pt idx="45">
                  <c:v>75351</c:v>
                </c:pt>
                <c:pt idx="46">
                  <c:v>79912</c:v>
                </c:pt>
                <c:pt idx="47">
                  <c:v>93258</c:v>
                </c:pt>
                <c:pt idx="48">
                  <c:v>82398</c:v>
                </c:pt>
                <c:pt idx="49">
                  <c:v>86408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F-B348-9D5A-D3C23D9711A4}"/>
            </c:ext>
          </c:extLst>
        </c:ser>
        <c:ser>
          <c:idx val="5"/>
          <c:order val="2"/>
          <c:tx>
            <c:strRef>
              <c:f>'AMZN operations'!$B$9</c:f>
              <c:strCache>
                <c:ptCount val="1"/>
                <c:pt idx="0">
                  <c:v>Technology and infrustructure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operations'!$C$9:$AZ$9</c:f>
              <c:numCache>
                <c:formatCode>General</c:formatCode>
                <c:ptCount val="50"/>
                <c:pt idx="0">
                  <c:v>945</c:v>
                </c:pt>
                <c:pt idx="1">
                  <c:v>1082</c:v>
                </c:pt>
                <c:pt idx="2">
                  <c:v>1192</c:v>
                </c:pt>
                <c:pt idx="3">
                  <c:v>1345</c:v>
                </c:pt>
                <c:pt idx="4">
                  <c:v>1383</c:v>
                </c:pt>
                <c:pt idx="5">
                  <c:v>1586</c:v>
                </c:pt>
                <c:pt idx="6">
                  <c:v>1734</c:v>
                </c:pt>
                <c:pt idx="7">
                  <c:v>1862</c:v>
                </c:pt>
                <c:pt idx="8">
                  <c:v>1991</c:v>
                </c:pt>
                <c:pt idx="9">
                  <c:v>2226</c:v>
                </c:pt>
                <c:pt idx="10">
                  <c:v>2423</c:v>
                </c:pt>
                <c:pt idx="11">
                  <c:v>2635</c:v>
                </c:pt>
                <c:pt idx="12">
                  <c:v>2754</c:v>
                </c:pt>
                <c:pt idx="13">
                  <c:v>3020</c:v>
                </c:pt>
                <c:pt idx="14">
                  <c:v>3197</c:v>
                </c:pt>
                <c:pt idx="15">
                  <c:v>3569</c:v>
                </c:pt>
                <c:pt idx="16">
                  <c:v>3526</c:v>
                </c:pt>
                <c:pt idx="17">
                  <c:v>3880</c:v>
                </c:pt>
                <c:pt idx="18">
                  <c:v>4135</c:v>
                </c:pt>
                <c:pt idx="19">
                  <c:v>4544</c:v>
                </c:pt>
                <c:pt idx="20">
                  <c:v>4813</c:v>
                </c:pt>
                <c:pt idx="21">
                  <c:v>5549</c:v>
                </c:pt>
                <c:pt idx="22">
                  <c:v>5944</c:v>
                </c:pt>
                <c:pt idx="23">
                  <c:v>6314</c:v>
                </c:pt>
                <c:pt idx="24">
                  <c:v>6759</c:v>
                </c:pt>
                <c:pt idx="25">
                  <c:v>7247</c:v>
                </c:pt>
                <c:pt idx="26">
                  <c:v>7162</c:v>
                </c:pt>
                <c:pt idx="27">
                  <c:v>7669</c:v>
                </c:pt>
                <c:pt idx="28">
                  <c:v>7927</c:v>
                </c:pt>
                <c:pt idx="29">
                  <c:v>9065</c:v>
                </c:pt>
                <c:pt idx="30">
                  <c:v>9200</c:v>
                </c:pt>
                <c:pt idx="31">
                  <c:v>9739</c:v>
                </c:pt>
                <c:pt idx="32">
                  <c:v>9325</c:v>
                </c:pt>
                <c:pt idx="33">
                  <c:v>10388</c:v>
                </c:pt>
                <c:pt idx="34">
                  <c:v>10976</c:v>
                </c:pt>
                <c:pt idx="35">
                  <c:v>12051</c:v>
                </c:pt>
                <c:pt idx="36">
                  <c:v>12488</c:v>
                </c:pt>
                <c:pt idx="37">
                  <c:v>13871</c:v>
                </c:pt>
                <c:pt idx="38">
                  <c:v>14380</c:v>
                </c:pt>
                <c:pt idx="39">
                  <c:v>15313</c:v>
                </c:pt>
                <c:pt idx="40">
                  <c:v>14842</c:v>
                </c:pt>
                <c:pt idx="41">
                  <c:v>18072</c:v>
                </c:pt>
                <c:pt idx="42">
                  <c:v>19485</c:v>
                </c:pt>
                <c:pt idx="43">
                  <c:v>20814</c:v>
                </c:pt>
                <c:pt idx="44">
                  <c:v>20450</c:v>
                </c:pt>
                <c:pt idx="45">
                  <c:v>21931</c:v>
                </c:pt>
                <c:pt idx="46">
                  <c:v>21203</c:v>
                </c:pt>
                <c:pt idx="47">
                  <c:v>22038</c:v>
                </c:pt>
                <c:pt idx="48">
                  <c:v>20424</c:v>
                </c:pt>
                <c:pt idx="49">
                  <c:v>22304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F-B348-9D5A-D3C23D9711A4}"/>
            </c:ext>
          </c:extLst>
        </c:ser>
        <c:ser>
          <c:idx val="6"/>
          <c:order val="3"/>
          <c:tx>
            <c:strRef>
              <c:f>'AMZN operations'!$B$10</c:f>
              <c:strCache>
                <c:ptCount val="1"/>
                <c:pt idx="0">
                  <c:v>Sales and marketing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operations'!$C$10:$AZ$10</c:f>
              <c:numCache>
                <c:formatCode>General</c:formatCode>
                <c:ptCount val="50"/>
                <c:pt idx="0">
                  <c:v>480</c:v>
                </c:pt>
                <c:pt idx="1">
                  <c:v>537</c:v>
                </c:pt>
                <c:pt idx="2">
                  <c:v>540</c:v>
                </c:pt>
                <c:pt idx="3">
                  <c:v>851</c:v>
                </c:pt>
                <c:pt idx="4">
                  <c:v>632</c:v>
                </c:pt>
                <c:pt idx="5">
                  <c:v>675</c:v>
                </c:pt>
                <c:pt idx="6">
                  <c:v>694</c:v>
                </c:pt>
                <c:pt idx="7">
                  <c:v>1132</c:v>
                </c:pt>
                <c:pt idx="8">
                  <c:v>870</c:v>
                </c:pt>
                <c:pt idx="9">
                  <c:v>943</c:v>
                </c:pt>
                <c:pt idx="10">
                  <c:v>993</c:v>
                </c:pt>
                <c:pt idx="11">
                  <c:v>1526</c:v>
                </c:pt>
                <c:pt idx="12">
                  <c:v>1083</c:v>
                </c:pt>
                <c:pt idx="13">
                  <c:v>1150</c:v>
                </c:pt>
                <c:pt idx="14">
                  <c:v>1264</c:v>
                </c:pt>
                <c:pt idx="15">
                  <c:v>1757</c:v>
                </c:pt>
                <c:pt idx="16">
                  <c:v>1436</c:v>
                </c:pt>
                <c:pt idx="17">
                  <c:v>1546</c:v>
                </c:pt>
                <c:pt idx="18">
                  <c:v>1738</c:v>
                </c:pt>
                <c:pt idx="19">
                  <c:v>2513</c:v>
                </c:pt>
                <c:pt idx="20">
                  <c:v>1920</c:v>
                </c:pt>
                <c:pt idx="21">
                  <c:v>2229</c:v>
                </c:pt>
                <c:pt idx="22">
                  <c:v>2479</c:v>
                </c:pt>
                <c:pt idx="23">
                  <c:v>3441</c:v>
                </c:pt>
                <c:pt idx="24">
                  <c:v>2699</c:v>
                </c:pt>
                <c:pt idx="25">
                  <c:v>2901</c:v>
                </c:pt>
                <c:pt idx="26">
                  <c:v>3303</c:v>
                </c:pt>
                <c:pt idx="27">
                  <c:v>4911</c:v>
                </c:pt>
                <c:pt idx="28">
                  <c:v>3664</c:v>
                </c:pt>
                <c:pt idx="29">
                  <c:v>4291</c:v>
                </c:pt>
                <c:pt idx="30">
                  <c:v>4752</c:v>
                </c:pt>
                <c:pt idx="31">
                  <c:v>6171</c:v>
                </c:pt>
                <c:pt idx="32">
                  <c:v>4828</c:v>
                </c:pt>
                <c:pt idx="33">
                  <c:v>4345</c:v>
                </c:pt>
                <c:pt idx="34">
                  <c:v>5434</c:v>
                </c:pt>
                <c:pt idx="35">
                  <c:v>7401</c:v>
                </c:pt>
                <c:pt idx="36">
                  <c:v>6207</c:v>
                </c:pt>
                <c:pt idx="37">
                  <c:v>7524</c:v>
                </c:pt>
                <c:pt idx="38">
                  <c:v>8010</c:v>
                </c:pt>
                <c:pt idx="39">
                  <c:v>10810</c:v>
                </c:pt>
                <c:pt idx="40">
                  <c:v>8320</c:v>
                </c:pt>
                <c:pt idx="41">
                  <c:v>10086</c:v>
                </c:pt>
                <c:pt idx="42">
                  <c:v>11014</c:v>
                </c:pt>
                <c:pt idx="43">
                  <c:v>12818</c:v>
                </c:pt>
                <c:pt idx="44">
                  <c:v>10172</c:v>
                </c:pt>
                <c:pt idx="45">
                  <c:v>10745</c:v>
                </c:pt>
                <c:pt idx="46">
                  <c:v>10551</c:v>
                </c:pt>
                <c:pt idx="47">
                  <c:v>12902</c:v>
                </c:pt>
                <c:pt idx="48">
                  <c:v>9662</c:v>
                </c:pt>
                <c:pt idx="49">
                  <c:v>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F-B348-9D5A-D3C23D97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23199"/>
        <c:axId val="1349459743"/>
      </c:lineChart>
      <c:catAx>
        <c:axId val="11228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59743"/>
        <c:crosses val="autoZero"/>
        <c:auto val="1"/>
        <c:lblAlgn val="ctr"/>
        <c:lblOffset val="100"/>
        <c:noMultiLvlLbl val="0"/>
      </c:catAx>
      <c:valAx>
        <c:axId val="1349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 and Operating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'AMZN operations'!$B$13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operations'!$C$13:$AZ$13</c:f>
              <c:numCache>
                <c:formatCode>General</c:formatCode>
                <c:ptCount val="50"/>
                <c:pt idx="0">
                  <c:v>12993</c:v>
                </c:pt>
                <c:pt idx="1">
                  <c:v>12727</c:v>
                </c:pt>
                <c:pt idx="2">
                  <c:v>13834</c:v>
                </c:pt>
                <c:pt idx="3">
                  <c:v>20863</c:v>
                </c:pt>
                <c:pt idx="4">
                  <c:v>15889</c:v>
                </c:pt>
                <c:pt idx="5">
                  <c:v>15625</c:v>
                </c:pt>
                <c:pt idx="6">
                  <c:v>17117</c:v>
                </c:pt>
                <c:pt idx="7">
                  <c:v>25076</c:v>
                </c:pt>
                <c:pt idx="8">
                  <c:v>19595</c:v>
                </c:pt>
                <c:pt idx="9">
                  <c:v>19355</c:v>
                </c:pt>
                <c:pt idx="10">
                  <c:v>21123</c:v>
                </c:pt>
                <c:pt idx="11">
                  <c:v>28737</c:v>
                </c:pt>
                <c:pt idx="12">
                  <c:v>22462</c:v>
                </c:pt>
                <c:pt idx="13">
                  <c:v>22721</c:v>
                </c:pt>
                <c:pt idx="14">
                  <c:v>24952</c:v>
                </c:pt>
                <c:pt idx="15">
                  <c:v>34638</c:v>
                </c:pt>
                <c:pt idx="16">
                  <c:v>28057</c:v>
                </c:pt>
                <c:pt idx="17">
                  <c:v>29119</c:v>
                </c:pt>
                <c:pt idx="18">
                  <c:v>32139</c:v>
                </c:pt>
                <c:pt idx="19">
                  <c:v>42486</c:v>
                </c:pt>
                <c:pt idx="20">
                  <c:v>34709</c:v>
                </c:pt>
                <c:pt idx="21">
                  <c:v>37327</c:v>
                </c:pt>
                <c:pt idx="22">
                  <c:v>43397</c:v>
                </c:pt>
                <c:pt idx="23">
                  <c:v>58327</c:v>
                </c:pt>
                <c:pt idx="24">
                  <c:v>49115</c:v>
                </c:pt>
                <c:pt idx="25">
                  <c:v>49903</c:v>
                </c:pt>
                <c:pt idx="26">
                  <c:v>52852</c:v>
                </c:pt>
                <c:pt idx="27">
                  <c:v>68596</c:v>
                </c:pt>
                <c:pt idx="28">
                  <c:v>55280</c:v>
                </c:pt>
                <c:pt idx="29">
                  <c:v>60320</c:v>
                </c:pt>
                <c:pt idx="30">
                  <c:v>66824</c:v>
                </c:pt>
                <c:pt idx="31">
                  <c:v>83557</c:v>
                </c:pt>
                <c:pt idx="32">
                  <c:v>71463</c:v>
                </c:pt>
                <c:pt idx="33">
                  <c:v>83069</c:v>
                </c:pt>
                <c:pt idx="34">
                  <c:v>89951</c:v>
                </c:pt>
                <c:pt idx="35">
                  <c:v>118682</c:v>
                </c:pt>
                <c:pt idx="36">
                  <c:v>99653</c:v>
                </c:pt>
                <c:pt idx="37">
                  <c:v>105378</c:v>
                </c:pt>
                <c:pt idx="38">
                  <c:v>105960</c:v>
                </c:pt>
                <c:pt idx="39">
                  <c:v>133952</c:v>
                </c:pt>
                <c:pt idx="40">
                  <c:v>112775</c:v>
                </c:pt>
                <c:pt idx="41">
                  <c:v>117917</c:v>
                </c:pt>
                <c:pt idx="42">
                  <c:v>124576</c:v>
                </c:pt>
                <c:pt idx="43">
                  <c:v>146467</c:v>
                </c:pt>
                <c:pt idx="44">
                  <c:v>122584</c:v>
                </c:pt>
                <c:pt idx="45">
                  <c:v>126702</c:v>
                </c:pt>
                <c:pt idx="46">
                  <c:v>131895</c:v>
                </c:pt>
                <c:pt idx="47">
                  <c:v>156752</c:v>
                </c:pt>
                <c:pt idx="48">
                  <c:v>128006</c:v>
                </c:pt>
                <c:pt idx="49">
                  <c:v>133305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B8-1145-8CAA-479191FD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936479"/>
        <c:axId val="1122812559"/>
      </c:barChart>
      <c:lineChart>
        <c:grouping val="standard"/>
        <c:varyColors val="0"/>
        <c:ser>
          <c:idx val="18"/>
          <c:order val="1"/>
          <c:tx>
            <c:strRef>
              <c:f>'AMZN operations'!$B$22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operations'!$C$22:$AZ$22</c:f>
              <c:numCache>
                <c:formatCode>General</c:formatCode>
                <c:ptCount val="50"/>
                <c:pt idx="0">
                  <c:v>130</c:v>
                </c:pt>
                <c:pt idx="1">
                  <c:v>7</c:v>
                </c:pt>
                <c:pt idx="2">
                  <c:v>-274</c:v>
                </c:pt>
                <c:pt idx="3">
                  <c:v>98</c:v>
                </c:pt>
                <c:pt idx="4">
                  <c:v>82</c:v>
                </c:pt>
                <c:pt idx="5">
                  <c:v>-7</c:v>
                </c:pt>
                <c:pt idx="6">
                  <c:v>-41</c:v>
                </c:pt>
                <c:pt idx="7">
                  <c:v>240</c:v>
                </c:pt>
                <c:pt idx="8">
                  <c:v>108</c:v>
                </c:pt>
                <c:pt idx="9">
                  <c:v>-126</c:v>
                </c:pt>
                <c:pt idx="10">
                  <c:v>-437</c:v>
                </c:pt>
                <c:pt idx="11">
                  <c:v>214</c:v>
                </c:pt>
                <c:pt idx="12">
                  <c:v>-57</c:v>
                </c:pt>
                <c:pt idx="13">
                  <c:v>92</c:v>
                </c:pt>
                <c:pt idx="14">
                  <c:v>79</c:v>
                </c:pt>
                <c:pt idx="15">
                  <c:v>482</c:v>
                </c:pt>
                <c:pt idx="16">
                  <c:v>513</c:v>
                </c:pt>
                <c:pt idx="17">
                  <c:v>857</c:v>
                </c:pt>
                <c:pt idx="18">
                  <c:v>252</c:v>
                </c:pt>
                <c:pt idx="19">
                  <c:v>749</c:v>
                </c:pt>
                <c:pt idx="20">
                  <c:v>724</c:v>
                </c:pt>
                <c:pt idx="21">
                  <c:v>197</c:v>
                </c:pt>
                <c:pt idx="22">
                  <c:v>256</c:v>
                </c:pt>
                <c:pt idx="23">
                  <c:v>1856</c:v>
                </c:pt>
                <c:pt idx="24">
                  <c:v>1629</c:v>
                </c:pt>
                <c:pt idx="25">
                  <c:v>2534</c:v>
                </c:pt>
                <c:pt idx="26">
                  <c:v>2883</c:v>
                </c:pt>
                <c:pt idx="27">
                  <c:v>3027</c:v>
                </c:pt>
                <c:pt idx="28">
                  <c:v>3561</c:v>
                </c:pt>
                <c:pt idx="29">
                  <c:v>2625</c:v>
                </c:pt>
                <c:pt idx="30">
                  <c:v>2134</c:v>
                </c:pt>
                <c:pt idx="31">
                  <c:v>3268</c:v>
                </c:pt>
                <c:pt idx="32">
                  <c:v>2535</c:v>
                </c:pt>
                <c:pt idx="33">
                  <c:v>5243</c:v>
                </c:pt>
                <c:pt idx="34">
                  <c:v>6331</c:v>
                </c:pt>
                <c:pt idx="35">
                  <c:v>7222</c:v>
                </c:pt>
                <c:pt idx="36">
                  <c:v>8107</c:v>
                </c:pt>
                <c:pt idx="37">
                  <c:v>7778</c:v>
                </c:pt>
                <c:pt idx="38">
                  <c:v>3156</c:v>
                </c:pt>
                <c:pt idx="39">
                  <c:v>14323</c:v>
                </c:pt>
                <c:pt idx="40">
                  <c:v>-3844</c:v>
                </c:pt>
                <c:pt idx="41">
                  <c:v>-2028</c:v>
                </c:pt>
                <c:pt idx="42">
                  <c:v>2872</c:v>
                </c:pt>
                <c:pt idx="43">
                  <c:v>278</c:v>
                </c:pt>
                <c:pt idx="44">
                  <c:v>3172</c:v>
                </c:pt>
                <c:pt idx="45">
                  <c:v>6750</c:v>
                </c:pt>
                <c:pt idx="46">
                  <c:v>9879</c:v>
                </c:pt>
                <c:pt idx="47">
                  <c:v>10624</c:v>
                </c:pt>
                <c:pt idx="48">
                  <c:v>10431</c:v>
                </c:pt>
                <c:pt idx="49">
                  <c:v>13485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B8-1145-8CAA-479191FD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642239"/>
        <c:axId val="1307929343"/>
      </c:lineChart>
      <c:catAx>
        <c:axId val="11229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12559"/>
        <c:crosses val="autoZero"/>
        <c:auto val="1"/>
        <c:lblAlgn val="ctr"/>
        <c:lblOffset val="100"/>
        <c:noMultiLvlLbl val="0"/>
      </c:catAx>
      <c:valAx>
        <c:axId val="11228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36479"/>
        <c:crosses val="autoZero"/>
        <c:crossBetween val="between"/>
      </c:valAx>
      <c:valAx>
        <c:axId val="1307929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2239"/>
        <c:crosses val="max"/>
        <c:crossBetween val="between"/>
      </c:valAx>
      <c:catAx>
        <c:axId val="150664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7929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Sales and Total Operating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'AMZN operations'!$B$6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operations'!$C$6:$AZ$6</c:f>
              <c:numCache>
                <c:formatCode>General</c:formatCode>
                <c:ptCount val="50"/>
                <c:pt idx="0">
                  <c:v>13185</c:v>
                </c:pt>
                <c:pt idx="1">
                  <c:v>12834</c:v>
                </c:pt>
                <c:pt idx="2">
                  <c:v>13806</c:v>
                </c:pt>
                <c:pt idx="3">
                  <c:v>21268</c:v>
                </c:pt>
                <c:pt idx="4">
                  <c:v>16070</c:v>
                </c:pt>
                <c:pt idx="5">
                  <c:v>15704</c:v>
                </c:pt>
                <c:pt idx="6">
                  <c:v>17092</c:v>
                </c:pt>
                <c:pt idx="7">
                  <c:v>25586</c:v>
                </c:pt>
                <c:pt idx="8">
                  <c:v>19741</c:v>
                </c:pt>
                <c:pt idx="9">
                  <c:v>19340</c:v>
                </c:pt>
                <c:pt idx="10">
                  <c:v>20579</c:v>
                </c:pt>
                <c:pt idx="11">
                  <c:v>29328</c:v>
                </c:pt>
                <c:pt idx="12">
                  <c:v>22717</c:v>
                </c:pt>
                <c:pt idx="13">
                  <c:v>23185</c:v>
                </c:pt>
                <c:pt idx="14">
                  <c:v>25358</c:v>
                </c:pt>
                <c:pt idx="15">
                  <c:v>35746</c:v>
                </c:pt>
                <c:pt idx="16">
                  <c:v>29128</c:v>
                </c:pt>
                <c:pt idx="17">
                  <c:v>30404</c:v>
                </c:pt>
                <c:pt idx="18">
                  <c:v>32714</c:v>
                </c:pt>
                <c:pt idx="19">
                  <c:v>43741</c:v>
                </c:pt>
                <c:pt idx="20">
                  <c:v>35714</c:v>
                </c:pt>
                <c:pt idx="21">
                  <c:v>37955</c:v>
                </c:pt>
                <c:pt idx="22">
                  <c:v>43744</c:v>
                </c:pt>
                <c:pt idx="23">
                  <c:v>60453</c:v>
                </c:pt>
                <c:pt idx="24">
                  <c:v>51042</c:v>
                </c:pt>
                <c:pt idx="25">
                  <c:v>52886</c:v>
                </c:pt>
                <c:pt idx="26">
                  <c:v>56576</c:v>
                </c:pt>
                <c:pt idx="27">
                  <c:v>72383</c:v>
                </c:pt>
                <c:pt idx="28">
                  <c:v>59700</c:v>
                </c:pt>
                <c:pt idx="29">
                  <c:v>63404</c:v>
                </c:pt>
                <c:pt idx="30">
                  <c:v>69981</c:v>
                </c:pt>
                <c:pt idx="31">
                  <c:v>87437</c:v>
                </c:pt>
                <c:pt idx="32">
                  <c:v>75452</c:v>
                </c:pt>
                <c:pt idx="33">
                  <c:v>88912</c:v>
                </c:pt>
                <c:pt idx="34">
                  <c:v>96145</c:v>
                </c:pt>
                <c:pt idx="35">
                  <c:v>125555</c:v>
                </c:pt>
                <c:pt idx="36">
                  <c:v>108518</c:v>
                </c:pt>
                <c:pt idx="37">
                  <c:v>113080</c:v>
                </c:pt>
                <c:pt idx="38">
                  <c:v>110812</c:v>
                </c:pt>
                <c:pt idx="39">
                  <c:v>137412</c:v>
                </c:pt>
                <c:pt idx="40">
                  <c:v>116444</c:v>
                </c:pt>
                <c:pt idx="41">
                  <c:v>121234</c:v>
                </c:pt>
                <c:pt idx="42">
                  <c:v>127101</c:v>
                </c:pt>
                <c:pt idx="43">
                  <c:v>149204</c:v>
                </c:pt>
                <c:pt idx="44">
                  <c:v>127358</c:v>
                </c:pt>
                <c:pt idx="45">
                  <c:v>134383</c:v>
                </c:pt>
                <c:pt idx="46">
                  <c:v>143083</c:v>
                </c:pt>
                <c:pt idx="47">
                  <c:v>169961</c:v>
                </c:pt>
                <c:pt idx="48">
                  <c:v>143313</c:v>
                </c:pt>
                <c:pt idx="49">
                  <c:v>147977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B-1347-B27B-0355EDCFCFD7}"/>
            </c:ext>
          </c:extLst>
        </c:ser>
        <c:ser>
          <c:idx val="9"/>
          <c:order val="1"/>
          <c:tx>
            <c:strRef>
              <c:f>'AMZN operations'!$B$13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rgbClr val="FF2F92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operations'!$C$13:$AZ$13</c:f>
              <c:numCache>
                <c:formatCode>General</c:formatCode>
                <c:ptCount val="50"/>
                <c:pt idx="0">
                  <c:v>12993</c:v>
                </c:pt>
                <c:pt idx="1">
                  <c:v>12727</c:v>
                </c:pt>
                <c:pt idx="2">
                  <c:v>13834</c:v>
                </c:pt>
                <c:pt idx="3">
                  <c:v>20863</c:v>
                </c:pt>
                <c:pt idx="4">
                  <c:v>15889</c:v>
                </c:pt>
                <c:pt idx="5">
                  <c:v>15625</c:v>
                </c:pt>
                <c:pt idx="6">
                  <c:v>17117</c:v>
                </c:pt>
                <c:pt idx="7">
                  <c:v>25076</c:v>
                </c:pt>
                <c:pt idx="8">
                  <c:v>19595</c:v>
                </c:pt>
                <c:pt idx="9">
                  <c:v>19355</c:v>
                </c:pt>
                <c:pt idx="10">
                  <c:v>21123</c:v>
                </c:pt>
                <c:pt idx="11">
                  <c:v>28737</c:v>
                </c:pt>
                <c:pt idx="12">
                  <c:v>22462</c:v>
                </c:pt>
                <c:pt idx="13">
                  <c:v>22721</c:v>
                </c:pt>
                <c:pt idx="14">
                  <c:v>24952</c:v>
                </c:pt>
                <c:pt idx="15">
                  <c:v>34638</c:v>
                </c:pt>
                <c:pt idx="16">
                  <c:v>28057</c:v>
                </c:pt>
                <c:pt idx="17">
                  <c:v>29119</c:v>
                </c:pt>
                <c:pt idx="18">
                  <c:v>32139</c:v>
                </c:pt>
                <c:pt idx="19">
                  <c:v>42486</c:v>
                </c:pt>
                <c:pt idx="20">
                  <c:v>34709</c:v>
                </c:pt>
                <c:pt idx="21">
                  <c:v>37327</c:v>
                </c:pt>
                <c:pt idx="22">
                  <c:v>43397</c:v>
                </c:pt>
                <c:pt idx="23">
                  <c:v>58327</c:v>
                </c:pt>
                <c:pt idx="24">
                  <c:v>49115</c:v>
                </c:pt>
                <c:pt idx="25">
                  <c:v>49903</c:v>
                </c:pt>
                <c:pt idx="26">
                  <c:v>52852</c:v>
                </c:pt>
                <c:pt idx="27">
                  <c:v>68596</c:v>
                </c:pt>
                <c:pt idx="28">
                  <c:v>55280</c:v>
                </c:pt>
                <c:pt idx="29">
                  <c:v>60320</c:v>
                </c:pt>
                <c:pt idx="30">
                  <c:v>66824</c:v>
                </c:pt>
                <c:pt idx="31">
                  <c:v>83557</c:v>
                </c:pt>
                <c:pt idx="32">
                  <c:v>71463</c:v>
                </c:pt>
                <c:pt idx="33">
                  <c:v>83069</c:v>
                </c:pt>
                <c:pt idx="34">
                  <c:v>89951</c:v>
                </c:pt>
                <c:pt idx="35">
                  <c:v>118682</c:v>
                </c:pt>
                <c:pt idx="36">
                  <c:v>99653</c:v>
                </c:pt>
                <c:pt idx="37">
                  <c:v>105378</c:v>
                </c:pt>
                <c:pt idx="38">
                  <c:v>105960</c:v>
                </c:pt>
                <c:pt idx="39">
                  <c:v>133952</c:v>
                </c:pt>
                <c:pt idx="40">
                  <c:v>112775</c:v>
                </c:pt>
                <c:pt idx="41">
                  <c:v>117917</c:v>
                </c:pt>
                <c:pt idx="42">
                  <c:v>124576</c:v>
                </c:pt>
                <c:pt idx="43">
                  <c:v>146467</c:v>
                </c:pt>
                <c:pt idx="44">
                  <c:v>122584</c:v>
                </c:pt>
                <c:pt idx="45">
                  <c:v>126702</c:v>
                </c:pt>
                <c:pt idx="46">
                  <c:v>131895</c:v>
                </c:pt>
                <c:pt idx="47">
                  <c:v>156752</c:v>
                </c:pt>
                <c:pt idx="48">
                  <c:v>128006</c:v>
                </c:pt>
                <c:pt idx="49">
                  <c:v>133305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2B-1347-B27B-0355EDCF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18928"/>
        <c:axId val="1349064175"/>
      </c:lineChart>
      <c:catAx>
        <c:axId val="13573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64175"/>
        <c:crosses val="autoZero"/>
        <c:auto val="1"/>
        <c:lblAlgn val="ctr"/>
        <c:lblOffset val="100"/>
        <c:noMultiLvlLbl val="0"/>
      </c:catAx>
      <c:valAx>
        <c:axId val="13490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'AMZN operations'!$B$6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operations'!$C$6:$AZ$6</c:f>
              <c:numCache>
                <c:formatCode>General</c:formatCode>
                <c:ptCount val="50"/>
                <c:pt idx="0">
                  <c:v>13185</c:v>
                </c:pt>
                <c:pt idx="1">
                  <c:v>12834</c:v>
                </c:pt>
                <c:pt idx="2">
                  <c:v>13806</c:v>
                </c:pt>
                <c:pt idx="3">
                  <c:v>21268</c:v>
                </c:pt>
                <c:pt idx="4">
                  <c:v>16070</c:v>
                </c:pt>
                <c:pt idx="5">
                  <c:v>15704</c:v>
                </c:pt>
                <c:pt idx="6">
                  <c:v>17092</c:v>
                </c:pt>
                <c:pt idx="7">
                  <c:v>25586</c:v>
                </c:pt>
                <c:pt idx="8">
                  <c:v>19741</c:v>
                </c:pt>
                <c:pt idx="9">
                  <c:v>19340</c:v>
                </c:pt>
                <c:pt idx="10">
                  <c:v>20579</c:v>
                </c:pt>
                <c:pt idx="11">
                  <c:v>29328</c:v>
                </c:pt>
                <c:pt idx="12">
                  <c:v>22717</c:v>
                </c:pt>
                <c:pt idx="13">
                  <c:v>23185</c:v>
                </c:pt>
                <c:pt idx="14">
                  <c:v>25358</c:v>
                </c:pt>
                <c:pt idx="15">
                  <c:v>35746</c:v>
                </c:pt>
                <c:pt idx="16">
                  <c:v>29128</c:v>
                </c:pt>
                <c:pt idx="17">
                  <c:v>30404</c:v>
                </c:pt>
                <c:pt idx="18">
                  <c:v>32714</c:v>
                </c:pt>
                <c:pt idx="19">
                  <c:v>43741</c:v>
                </c:pt>
                <c:pt idx="20">
                  <c:v>35714</c:v>
                </c:pt>
                <c:pt idx="21">
                  <c:v>37955</c:v>
                </c:pt>
                <c:pt idx="22">
                  <c:v>43744</c:v>
                </c:pt>
                <c:pt idx="23">
                  <c:v>60453</c:v>
                </c:pt>
                <c:pt idx="24">
                  <c:v>51042</c:v>
                </c:pt>
                <c:pt idx="25">
                  <c:v>52886</c:v>
                </c:pt>
                <c:pt idx="26">
                  <c:v>56576</c:v>
                </c:pt>
                <c:pt idx="27">
                  <c:v>72383</c:v>
                </c:pt>
                <c:pt idx="28">
                  <c:v>59700</c:v>
                </c:pt>
                <c:pt idx="29">
                  <c:v>63404</c:v>
                </c:pt>
                <c:pt idx="30">
                  <c:v>69981</c:v>
                </c:pt>
                <c:pt idx="31">
                  <c:v>87437</c:v>
                </c:pt>
                <c:pt idx="32">
                  <c:v>75452</c:v>
                </c:pt>
                <c:pt idx="33">
                  <c:v>88912</c:v>
                </c:pt>
                <c:pt idx="34">
                  <c:v>96145</c:v>
                </c:pt>
                <c:pt idx="35">
                  <c:v>125555</c:v>
                </c:pt>
                <c:pt idx="36">
                  <c:v>108518</c:v>
                </c:pt>
                <c:pt idx="37">
                  <c:v>113080</c:v>
                </c:pt>
                <c:pt idx="38">
                  <c:v>110812</c:v>
                </c:pt>
                <c:pt idx="39">
                  <c:v>137412</c:v>
                </c:pt>
                <c:pt idx="40">
                  <c:v>116444</c:v>
                </c:pt>
                <c:pt idx="41">
                  <c:v>121234</c:v>
                </c:pt>
                <c:pt idx="42">
                  <c:v>127101</c:v>
                </c:pt>
                <c:pt idx="43">
                  <c:v>149204</c:v>
                </c:pt>
                <c:pt idx="44">
                  <c:v>127358</c:v>
                </c:pt>
                <c:pt idx="45">
                  <c:v>134383</c:v>
                </c:pt>
                <c:pt idx="46">
                  <c:v>143083</c:v>
                </c:pt>
                <c:pt idx="47">
                  <c:v>169961</c:v>
                </c:pt>
                <c:pt idx="48">
                  <c:v>143313</c:v>
                </c:pt>
                <c:pt idx="49">
                  <c:v>147977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1-E34B-B779-D1199E26DB08}"/>
            </c:ext>
          </c:extLst>
        </c:ser>
        <c:ser>
          <c:idx val="9"/>
          <c:order val="1"/>
          <c:tx>
            <c:strRef>
              <c:f>'AMZN operations'!$B$13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rgbClr val="FF2F92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operations'!$C$13:$AZ$13</c:f>
              <c:numCache>
                <c:formatCode>General</c:formatCode>
                <c:ptCount val="50"/>
                <c:pt idx="0">
                  <c:v>12993</c:v>
                </c:pt>
                <c:pt idx="1">
                  <c:v>12727</c:v>
                </c:pt>
                <c:pt idx="2">
                  <c:v>13834</c:v>
                </c:pt>
                <c:pt idx="3">
                  <c:v>20863</c:v>
                </c:pt>
                <c:pt idx="4">
                  <c:v>15889</c:v>
                </c:pt>
                <c:pt idx="5">
                  <c:v>15625</c:v>
                </c:pt>
                <c:pt idx="6">
                  <c:v>17117</c:v>
                </c:pt>
                <c:pt idx="7">
                  <c:v>25076</c:v>
                </c:pt>
                <c:pt idx="8">
                  <c:v>19595</c:v>
                </c:pt>
                <c:pt idx="9">
                  <c:v>19355</c:v>
                </c:pt>
                <c:pt idx="10">
                  <c:v>21123</c:v>
                </c:pt>
                <c:pt idx="11">
                  <c:v>28737</c:v>
                </c:pt>
                <c:pt idx="12">
                  <c:v>22462</c:v>
                </c:pt>
                <c:pt idx="13">
                  <c:v>22721</c:v>
                </c:pt>
                <c:pt idx="14">
                  <c:v>24952</c:v>
                </c:pt>
                <c:pt idx="15">
                  <c:v>34638</c:v>
                </c:pt>
                <c:pt idx="16">
                  <c:v>28057</c:v>
                </c:pt>
                <c:pt idx="17">
                  <c:v>29119</c:v>
                </c:pt>
                <c:pt idx="18">
                  <c:v>32139</c:v>
                </c:pt>
                <c:pt idx="19">
                  <c:v>42486</c:v>
                </c:pt>
                <c:pt idx="20">
                  <c:v>34709</c:v>
                </c:pt>
                <c:pt idx="21">
                  <c:v>37327</c:v>
                </c:pt>
                <c:pt idx="22">
                  <c:v>43397</c:v>
                </c:pt>
                <c:pt idx="23">
                  <c:v>58327</c:v>
                </c:pt>
                <c:pt idx="24">
                  <c:v>49115</c:v>
                </c:pt>
                <c:pt idx="25">
                  <c:v>49903</c:v>
                </c:pt>
                <c:pt idx="26">
                  <c:v>52852</c:v>
                </c:pt>
                <c:pt idx="27">
                  <c:v>68596</c:v>
                </c:pt>
                <c:pt idx="28">
                  <c:v>55280</c:v>
                </c:pt>
                <c:pt idx="29">
                  <c:v>60320</c:v>
                </c:pt>
                <c:pt idx="30">
                  <c:v>66824</c:v>
                </c:pt>
                <c:pt idx="31">
                  <c:v>83557</c:v>
                </c:pt>
                <c:pt idx="32">
                  <c:v>71463</c:v>
                </c:pt>
                <c:pt idx="33">
                  <c:v>83069</c:v>
                </c:pt>
                <c:pt idx="34">
                  <c:v>89951</c:v>
                </c:pt>
                <c:pt idx="35">
                  <c:v>118682</c:v>
                </c:pt>
                <c:pt idx="36">
                  <c:v>99653</c:v>
                </c:pt>
                <c:pt idx="37">
                  <c:v>105378</c:v>
                </c:pt>
                <c:pt idx="38">
                  <c:v>105960</c:v>
                </c:pt>
                <c:pt idx="39">
                  <c:v>133952</c:v>
                </c:pt>
                <c:pt idx="40">
                  <c:v>112775</c:v>
                </c:pt>
                <c:pt idx="41">
                  <c:v>117917</c:v>
                </c:pt>
                <c:pt idx="42">
                  <c:v>124576</c:v>
                </c:pt>
                <c:pt idx="43">
                  <c:v>146467</c:v>
                </c:pt>
                <c:pt idx="44">
                  <c:v>122584</c:v>
                </c:pt>
                <c:pt idx="45">
                  <c:v>126702</c:v>
                </c:pt>
                <c:pt idx="46">
                  <c:v>131895</c:v>
                </c:pt>
                <c:pt idx="47">
                  <c:v>156752</c:v>
                </c:pt>
                <c:pt idx="48">
                  <c:v>128006</c:v>
                </c:pt>
                <c:pt idx="49">
                  <c:v>133305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1-E34B-B779-D1199E26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18928"/>
        <c:axId val="1349064175"/>
      </c:lineChart>
      <c:catAx>
        <c:axId val="13573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64175"/>
        <c:crosses val="autoZero"/>
        <c:auto val="1"/>
        <c:lblAlgn val="ctr"/>
        <c:lblOffset val="100"/>
        <c:noMultiLvlLbl val="0"/>
      </c:catAx>
      <c:valAx>
        <c:axId val="13490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139706</xdr:colOff>
      <xdr:row>26</xdr:row>
      <xdr:rowOff>19050</xdr:rowOff>
    </xdr:from>
    <xdr:to>
      <xdr:col>28</xdr:col>
      <xdr:colOff>673100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EF14E-75FB-410B-9703-25E695E14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127006</xdr:colOff>
      <xdr:row>50</xdr:row>
      <xdr:rowOff>31750</xdr:rowOff>
    </xdr:from>
    <xdr:to>
      <xdr:col>28</xdr:col>
      <xdr:colOff>546100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93EBA-B42D-CF19-60A1-283E3690A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139706</xdr:colOff>
      <xdr:row>78</xdr:row>
      <xdr:rowOff>158750</xdr:rowOff>
    </xdr:from>
    <xdr:to>
      <xdr:col>29</xdr:col>
      <xdr:colOff>12700</xdr:colOff>
      <xdr:row>100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B42F8F-FF95-328F-3944-D0C3646F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139706</xdr:colOff>
      <xdr:row>60</xdr:row>
      <xdr:rowOff>158750</xdr:rowOff>
    </xdr:from>
    <xdr:to>
      <xdr:col>29</xdr:col>
      <xdr:colOff>12700</xdr:colOff>
      <xdr:row>82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A98CE-3CA4-A04A-894F-199CC02C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101600</xdr:colOff>
      <xdr:row>59</xdr:row>
      <xdr:rowOff>47487</xdr:rowOff>
    </xdr:from>
    <xdr:to>
      <xdr:col>19</xdr:col>
      <xdr:colOff>677946</xdr:colOff>
      <xdr:row>88</xdr:row>
      <xdr:rowOff>123688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6C34D2-C1A1-6829-4BE4-338E2334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5252" y="11190357"/>
          <a:ext cx="4286955" cy="5520635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56</xdr:row>
      <xdr:rowOff>25400</xdr:rowOff>
    </xdr:from>
    <xdr:ext cx="4284746" cy="5600700"/>
    <xdr:pic>
      <xdr:nvPicPr>
        <xdr:cNvPr id="3" name="Picture 2">
          <a:extLst>
            <a:ext uri="{FF2B5EF4-FFF2-40B4-BE49-F238E27FC236}">
              <a16:creationId xmlns:a16="http://schemas.microsoft.com/office/drawing/2014/main" id="{4C048366-539E-964F-BE1B-9DE365647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10795000"/>
          <a:ext cx="4284746" cy="5600700"/>
        </a:xfrm>
        <a:prstGeom prst="rect">
          <a:avLst/>
        </a:prstGeom>
      </xdr:spPr>
    </xdr:pic>
    <xdr:clientData/>
  </xdr:oneCellAnchor>
  <xdr:twoCellAnchor>
    <xdr:from>
      <xdr:col>51</xdr:col>
      <xdr:colOff>139148</xdr:colOff>
      <xdr:row>3</xdr:row>
      <xdr:rowOff>75095</xdr:rowOff>
    </xdr:from>
    <xdr:to>
      <xdr:col>54</xdr:col>
      <xdr:colOff>640522</xdr:colOff>
      <xdr:row>11</xdr:row>
      <xdr:rowOff>165653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8A091C-838E-E27E-DC6D-CDC56A61788E}"/>
            </a:ext>
          </a:extLst>
        </xdr:cNvPr>
        <xdr:cNvSpPr txBox="1"/>
      </xdr:nvSpPr>
      <xdr:spPr>
        <a:xfrm>
          <a:off x="42700713" y="638312"/>
          <a:ext cx="2986157" cy="16145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Fulfillment</a:t>
          </a:r>
          <a:r>
            <a:rPr lang="en-US" sz="1100" b="1" baseline="0"/>
            <a:t> 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Forecast: </a:t>
          </a:r>
          <a:r>
            <a:rPr lang="en-US" sz="1100"/>
            <a:t>24333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Actual: </a:t>
          </a:r>
          <a:r>
            <a:rPr lang="en-US" sz="1100" baseline="0"/>
            <a:t>24660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Delta: </a:t>
          </a:r>
          <a:r>
            <a:rPr lang="en-US" sz="1100" baseline="0"/>
            <a:t>327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% delta: </a:t>
          </a:r>
          <a:r>
            <a:rPr lang="en-US" sz="1100" baseline="0"/>
            <a:t>1.3%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Scroll down for formulated output.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endParaRPr lang="en-US" sz="1100"/>
        </a:p>
      </xdr:txBody>
    </xdr:sp>
    <xdr:clientData/>
  </xdr:twoCellAnchor>
  <xdr:twoCellAnchor>
    <xdr:from>
      <xdr:col>18</xdr:col>
      <xdr:colOff>77304</xdr:colOff>
      <xdr:row>6</xdr:row>
      <xdr:rowOff>55217</xdr:rowOff>
    </xdr:from>
    <xdr:to>
      <xdr:col>19</xdr:col>
      <xdr:colOff>739913</xdr:colOff>
      <xdr:row>17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E5C475-C86E-2F41-41BC-973219098E10}"/>
            </a:ext>
          </a:extLst>
        </xdr:cNvPr>
        <xdr:cNvSpPr txBox="1"/>
      </xdr:nvSpPr>
      <xdr:spPr>
        <a:xfrm>
          <a:off x="13729804" y="1210917"/>
          <a:ext cx="1500809" cy="215458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Fulfillment</a:t>
          </a:r>
          <a:r>
            <a:rPr lang="en-US" sz="1100" b="1" baseline="0"/>
            <a:t> 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/>
        </a:p>
        <a:p>
          <a:r>
            <a:rPr lang="en-US" sz="1100" baseline="0"/>
            <a:t>Forecast :23196</a:t>
          </a:r>
        </a:p>
        <a:p>
          <a:r>
            <a:rPr lang="en-US" sz="1100" baseline="0"/>
            <a:t>Actual: 24660</a:t>
          </a:r>
        </a:p>
        <a:p>
          <a:r>
            <a:rPr lang="en-US" sz="1100" baseline="0"/>
            <a:t>Delta:  1463</a:t>
          </a:r>
        </a:p>
        <a:p>
          <a:r>
            <a:rPr lang="en-US" sz="1100" baseline="0"/>
            <a:t>% delta: 5.9%</a:t>
          </a:r>
        </a:p>
        <a:p>
          <a:endParaRPr lang="en-US" sz="1100" baseline="0"/>
        </a:p>
        <a:p>
          <a:r>
            <a:rPr lang="en-US" sz="1100" baseline="0"/>
            <a:t>Scroll down for formulated output.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101600</xdr:colOff>
      <xdr:row>56</xdr:row>
      <xdr:rowOff>25400</xdr:rowOff>
    </xdr:from>
    <xdr:to>
      <xdr:col>19</xdr:col>
      <xdr:colOff>449346</xdr:colOff>
      <xdr:row>85</xdr:row>
      <xdr:rowOff>89840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1DE32F-F0B0-3848-AFB4-BAAE00D10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10795000"/>
          <a:ext cx="4284746" cy="5600700"/>
        </a:xfrm>
        <a:prstGeom prst="rect">
          <a:avLst/>
        </a:prstGeom>
      </xdr:spPr>
    </xdr:pic>
    <xdr:clientData/>
  </xdr:twoCellAnchor>
  <xdr:twoCellAnchor>
    <xdr:from>
      <xdr:col>51</xdr:col>
      <xdr:colOff>58797</xdr:colOff>
      <xdr:row>5</xdr:row>
      <xdr:rowOff>23519</xdr:rowOff>
    </xdr:from>
    <xdr:to>
      <xdr:col>54</xdr:col>
      <xdr:colOff>611481</xdr:colOff>
      <xdr:row>14</xdr:row>
      <xdr:rowOff>23518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F2C6C3-9734-C66E-52B9-9886BBFE88CF}"/>
            </a:ext>
          </a:extLst>
        </xdr:cNvPr>
        <xdr:cNvSpPr txBox="1"/>
      </xdr:nvSpPr>
      <xdr:spPr>
        <a:xfrm>
          <a:off x="43250556" y="976019"/>
          <a:ext cx="3022129" cy="171685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Net</a:t>
          </a:r>
          <a:r>
            <a:rPr lang="en-US" sz="1100" b="1" baseline="0"/>
            <a:t> Product Sales 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Forecast: </a:t>
          </a:r>
          <a:r>
            <a:rPr lang="en-US" sz="1100"/>
            <a:t>71003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Actual: </a:t>
          </a:r>
          <a:r>
            <a:rPr lang="en-US" sz="1100" baseline="0"/>
            <a:t>67601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Delta: </a:t>
          </a:r>
          <a:r>
            <a:rPr lang="en-US" sz="1100" b="0" baseline="0"/>
            <a:t>3402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% delta: </a:t>
          </a:r>
          <a:r>
            <a:rPr lang="en-US" sz="1100" b="0" baseline="0"/>
            <a:t>5.9</a:t>
          </a:r>
          <a:r>
            <a:rPr lang="en-US" sz="1100" baseline="0"/>
            <a:t>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Scroll down for formulated output.</a:t>
          </a:r>
        </a:p>
      </xdr:txBody>
    </xdr:sp>
    <xdr:clientData/>
  </xdr:twoCellAnchor>
  <xdr:twoCellAnchor>
    <xdr:from>
      <xdr:col>14</xdr:col>
      <xdr:colOff>127000</xdr:colOff>
      <xdr:row>2</xdr:row>
      <xdr:rowOff>69272</xdr:rowOff>
    </xdr:from>
    <xdr:to>
      <xdr:col>17</xdr:col>
      <xdr:colOff>346363</xdr:colOff>
      <xdr:row>13</xdr:row>
      <xdr:rowOff>92364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A0A677-BAFB-646E-F7DF-7CB04530CE67}"/>
            </a:ext>
          </a:extLst>
        </xdr:cNvPr>
        <xdr:cNvSpPr txBox="1"/>
      </xdr:nvSpPr>
      <xdr:spPr>
        <a:xfrm>
          <a:off x="11372273" y="461817"/>
          <a:ext cx="2482272" cy="221672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Fulfillment</a:t>
          </a:r>
          <a:r>
            <a:rPr lang="en-US" sz="1100" b="1" baseline="0"/>
            <a:t>  using MA(4)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/>
        </a:p>
        <a:p>
          <a:r>
            <a:rPr lang="en-US" sz="1100" baseline="0"/>
            <a:t>Forecast :65589</a:t>
          </a:r>
        </a:p>
        <a:p>
          <a:r>
            <a:rPr lang="en-US" sz="1100" baseline="0"/>
            <a:t>Actual: 67601</a:t>
          </a:r>
        </a:p>
        <a:p>
          <a:r>
            <a:rPr lang="en-US" sz="1100" baseline="0"/>
            <a:t>Delta:2011</a:t>
          </a:r>
        </a:p>
        <a:p>
          <a:r>
            <a:rPr lang="en-US" sz="1100" baseline="0"/>
            <a:t>% delta: 3.0%</a:t>
          </a:r>
        </a:p>
        <a:p>
          <a:endParaRPr lang="en-US" sz="1100" baseline="0"/>
        </a:p>
        <a:p>
          <a:r>
            <a:rPr lang="en-US" sz="1100" baseline="0"/>
            <a:t>Scroll down for formulated output.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AZ24"/>
  <sheetViews>
    <sheetView workbookViewId="0">
      <pane xSplit="2" topLeftCell="C1" activePane="topRight" state="frozen"/>
      <selection pane="topRight" activeCell="A29" sqref="A29"/>
    </sheetView>
  </sheetViews>
  <sheetFormatPr baseColWidth="10" defaultColWidth="8.83203125" defaultRowHeight="15" x14ac:dyDescent="0.2"/>
  <cols>
    <col min="1" max="1" width="10.5" customWidth="1"/>
    <col min="2" max="2" width="23.5" customWidth="1"/>
    <col min="3" max="46" width="9.1640625" customWidth="1"/>
  </cols>
  <sheetData>
    <row r="1" spans="2:52" ht="19" x14ac:dyDescent="0.25">
      <c r="B1" s="18" t="s">
        <v>140</v>
      </c>
    </row>
    <row r="2" spans="2:52" ht="19" x14ac:dyDescent="0.25">
      <c r="B2" s="16" t="s">
        <v>145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52" x14ac:dyDescent="0.2">
      <c r="C3" s="17" t="s">
        <v>0</v>
      </c>
      <c r="D3" s="17" t="s">
        <v>1</v>
      </c>
      <c r="E3" s="17" t="s">
        <v>2</v>
      </c>
      <c r="F3" s="17" t="s">
        <v>3</v>
      </c>
      <c r="G3" s="17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16</v>
      </c>
      <c r="T3" s="17" t="s">
        <v>17</v>
      </c>
      <c r="U3" s="17" t="s">
        <v>18</v>
      </c>
      <c r="V3" s="17" t="s">
        <v>19</v>
      </c>
      <c r="W3" s="17" t="s">
        <v>20</v>
      </c>
      <c r="X3" s="17" t="s">
        <v>21</v>
      </c>
      <c r="Y3" s="17" t="s">
        <v>22</v>
      </c>
      <c r="Z3" s="17" t="s">
        <v>23</v>
      </c>
      <c r="AA3" s="17" t="s">
        <v>24</v>
      </c>
      <c r="AB3" s="17" t="s">
        <v>25</v>
      </c>
      <c r="AC3" s="17" t="s">
        <v>26</v>
      </c>
      <c r="AD3" s="17" t="s">
        <v>27</v>
      </c>
      <c r="AE3" s="17" t="s">
        <v>28</v>
      </c>
      <c r="AF3" s="17" t="s">
        <v>29</v>
      </c>
      <c r="AG3" s="17" t="s">
        <v>30</v>
      </c>
      <c r="AH3" s="17" t="s">
        <v>31</v>
      </c>
      <c r="AI3" s="17" t="s">
        <v>32</v>
      </c>
      <c r="AJ3" s="17" t="s">
        <v>33</v>
      </c>
      <c r="AK3" s="17" t="s">
        <v>34</v>
      </c>
      <c r="AL3" s="17" t="s">
        <v>35</v>
      </c>
      <c r="AM3" s="17" t="s">
        <v>36</v>
      </c>
      <c r="AN3" s="17" t="s">
        <v>37</v>
      </c>
      <c r="AO3" s="17" t="s">
        <v>38</v>
      </c>
      <c r="AP3" s="17" t="s">
        <v>39</v>
      </c>
      <c r="AQ3" s="17" t="s">
        <v>40</v>
      </c>
      <c r="AR3" s="17" t="s">
        <v>41</v>
      </c>
      <c r="AS3" s="17" t="s">
        <v>42</v>
      </c>
      <c r="AT3" s="17" t="s">
        <v>43</v>
      </c>
      <c r="AU3" s="17" t="s">
        <v>44</v>
      </c>
      <c r="AV3" s="17" t="s">
        <v>45</v>
      </c>
      <c r="AW3" s="17" t="s">
        <v>46</v>
      </c>
      <c r="AX3" s="17" t="s">
        <v>47</v>
      </c>
      <c r="AY3" s="17" t="s">
        <v>48</v>
      </c>
      <c r="AZ3" s="17" t="s">
        <v>49</v>
      </c>
    </row>
    <row r="4" spans="2:52" x14ac:dyDescent="0.2">
      <c r="B4" t="s">
        <v>50</v>
      </c>
      <c r="C4">
        <v>11249</v>
      </c>
      <c r="D4">
        <v>10791</v>
      </c>
      <c r="E4">
        <v>11546</v>
      </c>
      <c r="F4">
        <f>51733-SUM(C4:E4)</f>
        <v>18147</v>
      </c>
      <c r="G4">
        <v>13271</v>
      </c>
      <c r="H4">
        <v>12752</v>
      </c>
      <c r="I4">
        <v>13808</v>
      </c>
      <c r="J4">
        <f>60903-SUM(G4:I4)</f>
        <v>21072</v>
      </c>
      <c r="K4">
        <v>15705</v>
      </c>
      <c r="L4">
        <v>15251</v>
      </c>
      <c r="M4">
        <v>16022</v>
      </c>
      <c r="N4">
        <f>70080-SUM(K4:M4)</f>
        <v>23102</v>
      </c>
      <c r="O4">
        <v>17084</v>
      </c>
      <c r="P4">
        <v>17104</v>
      </c>
      <c r="Q4">
        <v>18463</v>
      </c>
      <c r="R4">
        <f>79268-SUM(O4:Q4)</f>
        <v>26617</v>
      </c>
      <c r="S4">
        <v>20581</v>
      </c>
      <c r="T4">
        <v>21116</v>
      </c>
      <c r="U4">
        <v>22339</v>
      </c>
      <c r="V4">
        <f>94665-SUM(S4:U4)</f>
        <v>30629</v>
      </c>
      <c r="W4">
        <v>23734</v>
      </c>
      <c r="X4">
        <v>24745</v>
      </c>
      <c r="Y4">
        <v>28768</v>
      </c>
      <c r="Z4">
        <f>118573-SUM(W4:Y4)</f>
        <v>41326</v>
      </c>
      <c r="AA4">
        <v>31605</v>
      </c>
      <c r="AB4">
        <v>31864</v>
      </c>
      <c r="AC4">
        <v>33746</v>
      </c>
      <c r="AD4">
        <f>141915-SUM(AA4:AC4)</f>
        <v>44700</v>
      </c>
      <c r="AE4">
        <v>34283</v>
      </c>
      <c r="AF4">
        <v>35856</v>
      </c>
      <c r="AG4">
        <v>39726</v>
      </c>
      <c r="AH4">
        <f>160408-SUM(AE4:AG4)</f>
        <v>50543</v>
      </c>
      <c r="AI4">
        <v>41841</v>
      </c>
      <c r="AJ4">
        <v>50244</v>
      </c>
      <c r="AK4">
        <v>52774</v>
      </c>
      <c r="AL4">
        <f>215915-SUM(AI4:AK4)</f>
        <v>71056</v>
      </c>
      <c r="AM4">
        <v>57491</v>
      </c>
      <c r="AN4">
        <v>58004</v>
      </c>
      <c r="AO4">
        <v>54876</v>
      </c>
      <c r="AP4">
        <f>241787-(AM4+AN4+AO4)</f>
        <v>71416</v>
      </c>
      <c r="AQ4">
        <v>56455</v>
      </c>
      <c r="AR4">
        <v>56575</v>
      </c>
      <c r="AS4">
        <v>59340</v>
      </c>
      <c r="AT4">
        <f>242901-SUM(AQ4:AS4)</f>
        <v>70531</v>
      </c>
      <c r="AU4">
        <v>56981</v>
      </c>
      <c r="AV4">
        <v>59032</v>
      </c>
      <c r="AW4">
        <v>63171</v>
      </c>
      <c r="AX4">
        <f>255887-(AU4+AV4+AW4)</f>
        <v>76703</v>
      </c>
      <c r="AY4">
        <v>60915</v>
      </c>
      <c r="AZ4">
        <v>61569</v>
      </c>
    </row>
    <row r="5" spans="2:52" x14ac:dyDescent="0.2">
      <c r="B5" t="s">
        <v>51</v>
      </c>
      <c r="C5">
        <v>1936</v>
      </c>
      <c r="D5">
        <v>2043</v>
      </c>
      <c r="E5">
        <v>2260</v>
      </c>
      <c r="F5">
        <f>9360-SUM(C5:E5)</f>
        <v>3121</v>
      </c>
      <c r="G5">
        <v>2799</v>
      </c>
      <c r="H5">
        <v>2952</v>
      </c>
      <c r="I5">
        <v>3284</v>
      </c>
      <c r="J5">
        <f>13549-SUM(G5:I5)</f>
        <v>4514</v>
      </c>
      <c r="K5">
        <v>4036</v>
      </c>
      <c r="L5">
        <v>4089</v>
      </c>
      <c r="M5">
        <v>4557</v>
      </c>
      <c r="N5">
        <f>18908-SUM(K5:M5)</f>
        <v>6226</v>
      </c>
      <c r="O5">
        <v>5633</v>
      </c>
      <c r="P5">
        <v>6081</v>
      </c>
      <c r="Q5">
        <v>6895</v>
      </c>
      <c r="R5">
        <f>27738-SUM(O5:Q5)</f>
        <v>9129</v>
      </c>
      <c r="S5">
        <v>8547</v>
      </c>
      <c r="T5">
        <v>9288</v>
      </c>
      <c r="U5">
        <v>10375</v>
      </c>
      <c r="V5">
        <f>41322-SUM(S5:U5)</f>
        <v>13112</v>
      </c>
      <c r="W5">
        <v>11980</v>
      </c>
      <c r="X5">
        <v>13210</v>
      </c>
      <c r="Y5">
        <v>14976</v>
      </c>
      <c r="Z5">
        <f>59293-SUM(W5:Y5)</f>
        <v>19127</v>
      </c>
      <c r="AA5">
        <v>19437</v>
      </c>
      <c r="AB5">
        <v>21022</v>
      </c>
      <c r="AC5">
        <v>22830</v>
      </c>
      <c r="AD5">
        <f>90972-SUM(AA5:AC5)</f>
        <v>27683</v>
      </c>
      <c r="AE5">
        <v>25417</v>
      </c>
      <c r="AF5">
        <v>27548</v>
      </c>
      <c r="AG5">
        <v>30255</v>
      </c>
      <c r="AH5">
        <f>120114-SUM(AE5:AG5)</f>
        <v>36894</v>
      </c>
      <c r="AI5">
        <v>33611</v>
      </c>
      <c r="AJ5">
        <v>38668</v>
      </c>
      <c r="AK5">
        <v>43371</v>
      </c>
      <c r="AL5">
        <f>170149-SUM(AI5:AK5)</f>
        <v>54499</v>
      </c>
      <c r="AM5">
        <v>51027</v>
      </c>
      <c r="AN5">
        <v>55076</v>
      </c>
      <c r="AO5">
        <v>55936</v>
      </c>
      <c r="AP5">
        <f>228035-(AM5+AN5+AO5)</f>
        <v>65996</v>
      </c>
      <c r="AQ5">
        <v>59989</v>
      </c>
      <c r="AR5">
        <v>64659</v>
      </c>
      <c r="AS5">
        <v>67761</v>
      </c>
      <c r="AT5">
        <f>271082-SUM(AQ5:AS5)</f>
        <v>78673</v>
      </c>
      <c r="AU5">
        <v>70377</v>
      </c>
      <c r="AV5">
        <v>75351</v>
      </c>
      <c r="AW5">
        <v>79912</v>
      </c>
      <c r="AX5">
        <f>318898-(AU5+AV5+AW5)</f>
        <v>93258</v>
      </c>
      <c r="AY5">
        <v>82398</v>
      </c>
      <c r="AZ5">
        <v>86408</v>
      </c>
    </row>
    <row r="6" spans="2:52" x14ac:dyDescent="0.2">
      <c r="B6" s="17" t="s">
        <v>52</v>
      </c>
      <c r="C6" s="17">
        <f>C4+C5</f>
        <v>13185</v>
      </c>
      <c r="D6" s="17">
        <f t="shared" ref="D6:I6" si="0">D4+D5</f>
        <v>12834</v>
      </c>
      <c r="E6" s="17">
        <f t="shared" si="0"/>
        <v>13806</v>
      </c>
      <c r="F6" s="17">
        <f t="shared" si="0"/>
        <v>21268</v>
      </c>
      <c r="G6" s="17">
        <f t="shared" si="0"/>
        <v>16070</v>
      </c>
      <c r="H6" s="17">
        <f t="shared" si="0"/>
        <v>15704</v>
      </c>
      <c r="I6" s="17">
        <f t="shared" si="0"/>
        <v>17092</v>
      </c>
      <c r="J6" s="17">
        <f>J4+J5</f>
        <v>25586</v>
      </c>
      <c r="K6" s="17">
        <f t="shared" ref="K6:AE6" si="1">K4+K5</f>
        <v>19741</v>
      </c>
      <c r="L6" s="17">
        <f t="shared" si="1"/>
        <v>19340</v>
      </c>
      <c r="M6" s="17">
        <f t="shared" si="1"/>
        <v>20579</v>
      </c>
      <c r="N6" s="17">
        <f t="shared" si="1"/>
        <v>29328</v>
      </c>
      <c r="O6" s="17">
        <f t="shared" si="1"/>
        <v>22717</v>
      </c>
      <c r="P6" s="17">
        <f t="shared" si="1"/>
        <v>23185</v>
      </c>
      <c r="Q6" s="17">
        <f t="shared" si="1"/>
        <v>25358</v>
      </c>
      <c r="R6" s="17">
        <f t="shared" si="1"/>
        <v>35746</v>
      </c>
      <c r="S6" s="17">
        <f t="shared" si="1"/>
        <v>29128</v>
      </c>
      <c r="T6" s="17">
        <f t="shared" si="1"/>
        <v>30404</v>
      </c>
      <c r="U6" s="17">
        <f t="shared" si="1"/>
        <v>32714</v>
      </c>
      <c r="V6" s="17">
        <f t="shared" si="1"/>
        <v>43741</v>
      </c>
      <c r="W6" s="17">
        <f t="shared" si="1"/>
        <v>35714</v>
      </c>
      <c r="X6" s="17">
        <f t="shared" si="1"/>
        <v>37955</v>
      </c>
      <c r="Y6" s="17">
        <f t="shared" si="1"/>
        <v>43744</v>
      </c>
      <c r="Z6" s="17">
        <f t="shared" si="1"/>
        <v>60453</v>
      </c>
      <c r="AA6" s="17">
        <f t="shared" si="1"/>
        <v>51042</v>
      </c>
      <c r="AB6" s="17">
        <f t="shared" si="1"/>
        <v>52886</v>
      </c>
      <c r="AC6" s="17">
        <f t="shared" si="1"/>
        <v>56576</v>
      </c>
      <c r="AD6" s="17">
        <f t="shared" si="1"/>
        <v>72383</v>
      </c>
      <c r="AE6" s="17">
        <f t="shared" si="1"/>
        <v>59700</v>
      </c>
      <c r="AF6" s="17">
        <f t="shared" ref="AF6:AL6" si="2">AF4+AF5</f>
        <v>63404</v>
      </c>
      <c r="AG6" s="17">
        <f t="shared" si="2"/>
        <v>69981</v>
      </c>
      <c r="AH6" s="17">
        <f t="shared" si="2"/>
        <v>87437</v>
      </c>
      <c r="AI6" s="17">
        <f t="shared" si="2"/>
        <v>75452</v>
      </c>
      <c r="AJ6" s="17">
        <f t="shared" si="2"/>
        <v>88912</v>
      </c>
      <c r="AK6" s="17">
        <f t="shared" si="2"/>
        <v>96145</v>
      </c>
      <c r="AL6" s="17">
        <f t="shared" si="2"/>
        <v>125555</v>
      </c>
      <c r="AM6" s="17">
        <f>AM4+AM5</f>
        <v>108518</v>
      </c>
      <c r="AN6" s="17">
        <f t="shared" ref="AN6:AU6" si="3">AN4+AN5</f>
        <v>113080</v>
      </c>
      <c r="AO6" s="17">
        <f t="shared" si="3"/>
        <v>110812</v>
      </c>
      <c r="AP6" s="17">
        <f t="shared" si="3"/>
        <v>137412</v>
      </c>
      <c r="AQ6" s="17">
        <f t="shared" si="3"/>
        <v>116444</v>
      </c>
      <c r="AR6" s="17">
        <f t="shared" si="3"/>
        <v>121234</v>
      </c>
      <c r="AS6" s="17">
        <f t="shared" si="3"/>
        <v>127101</v>
      </c>
      <c r="AT6" s="17">
        <f t="shared" si="3"/>
        <v>149204</v>
      </c>
      <c r="AU6" s="17">
        <f t="shared" si="3"/>
        <v>127358</v>
      </c>
      <c r="AV6" s="17">
        <f t="shared" ref="AV6:AZ6" si="4">AV4+AV5</f>
        <v>134383</v>
      </c>
      <c r="AW6" s="17">
        <f t="shared" si="4"/>
        <v>143083</v>
      </c>
      <c r="AX6" s="17">
        <f t="shared" si="4"/>
        <v>169961</v>
      </c>
      <c r="AY6" s="17">
        <f t="shared" si="4"/>
        <v>143313</v>
      </c>
      <c r="AZ6" s="17">
        <f t="shared" si="4"/>
        <v>147977</v>
      </c>
    </row>
    <row r="7" spans="2:52" x14ac:dyDescent="0.2">
      <c r="B7" t="s">
        <v>53</v>
      </c>
      <c r="C7">
        <v>10027</v>
      </c>
      <c r="D7">
        <v>9488</v>
      </c>
      <c r="E7">
        <v>10319</v>
      </c>
      <c r="F7">
        <f>45971-SUM(C7:E7)</f>
        <v>16137</v>
      </c>
      <c r="G7">
        <v>11801</v>
      </c>
      <c r="H7">
        <v>11209</v>
      </c>
      <c r="I7">
        <v>12366</v>
      </c>
      <c r="J7">
        <f>54181-SUM(G7:I7)</f>
        <v>18805</v>
      </c>
      <c r="K7">
        <v>14055</v>
      </c>
      <c r="L7">
        <v>13399</v>
      </c>
      <c r="M7">
        <v>14627</v>
      </c>
      <c r="N7">
        <f>62752-SUM(K7:M7)</f>
        <v>20671</v>
      </c>
      <c r="O7">
        <v>15395</v>
      </c>
      <c r="P7">
        <v>15160</v>
      </c>
      <c r="Q7">
        <v>16755</v>
      </c>
      <c r="R7">
        <f>71651-SUM(O7:Q7)</f>
        <v>24341</v>
      </c>
      <c r="S7">
        <v>18866</v>
      </c>
      <c r="T7">
        <v>19180</v>
      </c>
      <c r="U7">
        <v>21260</v>
      </c>
      <c r="V7">
        <f>88265-SUM(S7:U7)</f>
        <v>28959</v>
      </c>
      <c r="W7">
        <v>22440</v>
      </c>
      <c r="X7">
        <v>23451</v>
      </c>
      <c r="Y7">
        <v>27549</v>
      </c>
      <c r="Z7">
        <f>111934-SUM(W7:Y7)</f>
        <v>38494</v>
      </c>
      <c r="AA7">
        <v>30735</v>
      </c>
      <c r="AB7">
        <v>30632</v>
      </c>
      <c r="AC7">
        <v>33003</v>
      </c>
      <c r="AD7">
        <f>139156-SUM(AA7:AC7)</f>
        <v>44786</v>
      </c>
      <c r="AE7">
        <v>33920</v>
      </c>
      <c r="AF7">
        <v>36337</v>
      </c>
      <c r="AG7">
        <v>41302</v>
      </c>
      <c r="AH7">
        <f>165536-SUM(AE7:AG7)</f>
        <v>53977</v>
      </c>
      <c r="AI7">
        <v>44257</v>
      </c>
      <c r="AJ7">
        <v>52660</v>
      </c>
      <c r="AK7">
        <v>57106</v>
      </c>
      <c r="AL7">
        <f>233307-SUM(AI7:AK7)</f>
        <v>79284</v>
      </c>
      <c r="AM7">
        <v>62403</v>
      </c>
      <c r="AN7">
        <v>64176</v>
      </c>
      <c r="AO7">
        <v>62930</v>
      </c>
      <c r="AP7">
        <f>272344-(AM7+AN7+AO7)</f>
        <v>82835</v>
      </c>
      <c r="AQ7">
        <v>66499</v>
      </c>
      <c r="AR7">
        <v>66424</v>
      </c>
      <c r="AS7">
        <v>70268</v>
      </c>
      <c r="AT7">
        <f>288831-SUM(AQ7:AS7)</f>
        <v>85640</v>
      </c>
      <c r="AU7">
        <v>67791</v>
      </c>
      <c r="AV7">
        <v>69373</v>
      </c>
      <c r="AW7">
        <v>75022</v>
      </c>
      <c r="AX7">
        <f>304739-(AU7+AV7+AW7)</f>
        <v>92553</v>
      </c>
      <c r="AY7">
        <v>72633</v>
      </c>
      <c r="AZ7">
        <v>73785</v>
      </c>
    </row>
    <row r="8" spans="2:52" x14ac:dyDescent="0.2">
      <c r="B8" s="17" t="s">
        <v>54</v>
      </c>
      <c r="C8" s="17">
        <v>1295</v>
      </c>
      <c r="D8" s="17">
        <v>1356</v>
      </c>
      <c r="E8" s="17">
        <v>1510</v>
      </c>
      <c r="F8" s="17">
        <f>6419-SUM(C8:E8)</f>
        <v>2258</v>
      </c>
      <c r="G8" s="17">
        <v>1796</v>
      </c>
      <c r="H8" s="17">
        <v>1837</v>
      </c>
      <c r="I8" s="17">
        <v>2034</v>
      </c>
      <c r="J8" s="17">
        <f>8585-SUM(G8:I8)</f>
        <v>2918</v>
      </c>
      <c r="K8" s="17">
        <v>2317</v>
      </c>
      <c r="L8" s="17">
        <v>2382</v>
      </c>
      <c r="M8" s="17">
        <v>2643</v>
      </c>
      <c r="N8" s="17">
        <f>10766-SUM(K8:M8)</f>
        <v>3424</v>
      </c>
      <c r="O8" s="17">
        <v>2759</v>
      </c>
      <c r="P8" s="17">
        <v>2876</v>
      </c>
      <c r="Q8" s="17">
        <v>3230</v>
      </c>
      <c r="R8" s="17">
        <f>13410-SUM(O8:Q8)</f>
        <v>4545</v>
      </c>
      <c r="S8" s="17">
        <v>3687</v>
      </c>
      <c r="T8" s="17">
        <v>3878</v>
      </c>
      <c r="U8" s="17">
        <v>4335</v>
      </c>
      <c r="V8" s="17">
        <f>17619-SUM(S8:U8)</f>
        <v>5719</v>
      </c>
      <c r="W8" s="17">
        <v>4697</v>
      </c>
      <c r="X8" s="17">
        <v>5158</v>
      </c>
      <c r="Y8" s="17">
        <v>6420</v>
      </c>
      <c r="Z8" s="17">
        <f>25249-SUM(W8:Y8)</f>
        <v>8974</v>
      </c>
      <c r="AA8" s="17">
        <v>7792</v>
      </c>
      <c r="AB8" s="17">
        <v>7932</v>
      </c>
      <c r="AC8" s="17">
        <v>8275</v>
      </c>
      <c r="AD8" s="17">
        <f>34027-SUM(AA8:AC8)</f>
        <v>10028</v>
      </c>
      <c r="AE8" s="17">
        <v>8601</v>
      </c>
      <c r="AF8" s="17">
        <v>9271</v>
      </c>
      <c r="AG8" s="17">
        <v>10167</v>
      </c>
      <c r="AH8" s="17">
        <f>40232-SUM(AE8:AG8)</f>
        <v>12193</v>
      </c>
      <c r="AI8" s="17">
        <v>11531</v>
      </c>
      <c r="AJ8" s="17">
        <v>13806</v>
      </c>
      <c r="AK8" s="17">
        <v>14705</v>
      </c>
      <c r="AL8" s="17">
        <f>58517-SUM(AI8:AK8)</f>
        <v>18475</v>
      </c>
      <c r="AM8" s="17">
        <v>16530</v>
      </c>
      <c r="AN8" s="17">
        <v>17638</v>
      </c>
      <c r="AO8" s="17">
        <v>18498</v>
      </c>
      <c r="AP8" s="17">
        <f>75111-(AM8+AN8+AO8)</f>
        <v>22445</v>
      </c>
      <c r="AQ8" s="17">
        <v>20271</v>
      </c>
      <c r="AR8" s="17">
        <v>20342</v>
      </c>
      <c r="AS8" s="17">
        <v>20583</v>
      </c>
      <c r="AT8" s="17">
        <f>84299-SUM(AQ8:AS8)</f>
        <v>23103</v>
      </c>
      <c r="AU8" s="17">
        <v>20905</v>
      </c>
      <c r="AV8" s="17">
        <v>21305</v>
      </c>
      <c r="AW8" s="17">
        <v>22314</v>
      </c>
      <c r="AX8" s="17">
        <f>90619-(AU8+AV8+AW8)</f>
        <v>26095</v>
      </c>
      <c r="AY8" s="17">
        <v>22317</v>
      </c>
      <c r="AZ8" s="17">
        <v>23566</v>
      </c>
    </row>
    <row r="9" spans="2:52" x14ac:dyDescent="0.2">
      <c r="B9" t="s">
        <v>55</v>
      </c>
      <c r="C9">
        <v>945</v>
      </c>
      <c r="D9">
        <v>1082</v>
      </c>
      <c r="E9">
        <v>1192</v>
      </c>
      <c r="F9">
        <f>4564-SUM(C9:E9)</f>
        <v>1345</v>
      </c>
      <c r="G9">
        <v>1383</v>
      </c>
      <c r="H9">
        <v>1586</v>
      </c>
      <c r="I9">
        <v>1734</v>
      </c>
      <c r="J9">
        <f>6565-SUM(G9:I9)</f>
        <v>1862</v>
      </c>
      <c r="K9">
        <v>1991</v>
      </c>
      <c r="L9">
        <v>2226</v>
      </c>
      <c r="M9">
        <v>2423</v>
      </c>
      <c r="N9">
        <f>9275-SUM(K9:M9)</f>
        <v>2635</v>
      </c>
      <c r="O9">
        <v>2754</v>
      </c>
      <c r="P9">
        <v>3020</v>
      </c>
      <c r="Q9">
        <v>3197</v>
      </c>
      <c r="R9">
        <f>12540-SUM(O9:Q9)</f>
        <v>3569</v>
      </c>
      <c r="S9">
        <v>3526</v>
      </c>
      <c r="T9">
        <v>3880</v>
      </c>
      <c r="U9">
        <v>4135</v>
      </c>
      <c r="V9">
        <f>16085-SUM(S9:U9)</f>
        <v>4544</v>
      </c>
      <c r="W9">
        <v>4813</v>
      </c>
      <c r="X9">
        <v>5549</v>
      </c>
      <c r="Y9">
        <v>5944</v>
      </c>
      <c r="Z9">
        <f>22620-SUM(W9:Y9)</f>
        <v>6314</v>
      </c>
      <c r="AA9">
        <v>6759</v>
      </c>
      <c r="AB9">
        <v>7247</v>
      </c>
      <c r="AC9">
        <v>7162</v>
      </c>
      <c r="AD9">
        <f>28837-SUM(AA9:AC9)</f>
        <v>7669</v>
      </c>
      <c r="AE9">
        <v>7927</v>
      </c>
      <c r="AF9">
        <v>9065</v>
      </c>
      <c r="AG9">
        <v>9200</v>
      </c>
      <c r="AH9">
        <f>35931-SUM(AE9:AG9)</f>
        <v>9739</v>
      </c>
      <c r="AI9">
        <v>9325</v>
      </c>
      <c r="AJ9">
        <v>10388</v>
      </c>
      <c r="AK9">
        <v>10976</v>
      </c>
      <c r="AL9">
        <f>42740-SUM(AI9:AK9)</f>
        <v>12051</v>
      </c>
      <c r="AM9">
        <v>12488</v>
      </c>
      <c r="AN9">
        <v>13871</v>
      </c>
      <c r="AO9">
        <v>14380</v>
      </c>
      <c r="AP9">
        <f>56052-(AM9+AN9+AO9)</f>
        <v>15313</v>
      </c>
      <c r="AQ9">
        <v>14842</v>
      </c>
      <c r="AR9">
        <v>18072</v>
      </c>
      <c r="AS9">
        <v>19485</v>
      </c>
      <c r="AT9">
        <f>73213-SUM(AQ9:AS9)</f>
        <v>20814</v>
      </c>
      <c r="AU9">
        <v>20450</v>
      </c>
      <c r="AV9">
        <v>21931</v>
      </c>
      <c r="AW9">
        <v>21203</v>
      </c>
      <c r="AX9">
        <f>85622-(AU9+AV9+AW9)</f>
        <v>22038</v>
      </c>
      <c r="AY9">
        <v>20424</v>
      </c>
      <c r="AZ9">
        <v>22304</v>
      </c>
    </row>
    <row r="10" spans="2:52" x14ac:dyDescent="0.2">
      <c r="B10" t="s">
        <v>56</v>
      </c>
      <c r="C10">
        <v>480</v>
      </c>
      <c r="D10">
        <v>537</v>
      </c>
      <c r="E10">
        <v>540</v>
      </c>
      <c r="F10">
        <f>2408-SUM(C10:E10)</f>
        <v>851</v>
      </c>
      <c r="G10">
        <v>632</v>
      </c>
      <c r="H10">
        <v>675</v>
      </c>
      <c r="I10">
        <v>694</v>
      </c>
      <c r="J10">
        <f>3133-SUM(G10:I10)</f>
        <v>1132</v>
      </c>
      <c r="K10">
        <v>870</v>
      </c>
      <c r="L10">
        <v>943</v>
      </c>
      <c r="M10">
        <v>993</v>
      </c>
      <c r="N10">
        <f>4332-SUM(K10:M10)</f>
        <v>1526</v>
      </c>
      <c r="O10">
        <v>1083</v>
      </c>
      <c r="P10">
        <v>1150</v>
      </c>
      <c r="Q10">
        <v>1264</v>
      </c>
      <c r="R10">
        <f>5254-SUM(O10:Q10)</f>
        <v>1757</v>
      </c>
      <c r="S10">
        <v>1436</v>
      </c>
      <c r="T10">
        <v>1546</v>
      </c>
      <c r="U10">
        <v>1738</v>
      </c>
      <c r="V10">
        <f>7233-SUM(S10:U10)</f>
        <v>2513</v>
      </c>
      <c r="W10">
        <v>1920</v>
      </c>
      <c r="X10">
        <v>2229</v>
      </c>
      <c r="Y10">
        <v>2479</v>
      </c>
      <c r="Z10">
        <f>10069-SUM(W10:Y10)</f>
        <v>3441</v>
      </c>
      <c r="AA10">
        <v>2699</v>
      </c>
      <c r="AB10">
        <v>2901</v>
      </c>
      <c r="AC10">
        <v>3303</v>
      </c>
      <c r="AD10">
        <f>13814-SUM(AA10:AC10)</f>
        <v>4911</v>
      </c>
      <c r="AE10">
        <v>3664</v>
      </c>
      <c r="AF10">
        <v>4291</v>
      </c>
      <c r="AG10">
        <v>4752</v>
      </c>
      <c r="AH10">
        <f>18878-SUM(AE10:AG10)</f>
        <v>6171</v>
      </c>
      <c r="AI10">
        <v>4828</v>
      </c>
      <c r="AJ10">
        <v>4345</v>
      </c>
      <c r="AK10">
        <v>5434</v>
      </c>
      <c r="AL10">
        <f>22008-SUM(AI10:AK10)</f>
        <v>7401</v>
      </c>
      <c r="AM10">
        <v>6207</v>
      </c>
      <c r="AN10">
        <v>7524</v>
      </c>
      <c r="AO10">
        <v>8010</v>
      </c>
      <c r="AP10">
        <f>32551-(AM10+AN10+AO10)</f>
        <v>10810</v>
      </c>
      <c r="AQ10">
        <v>8320</v>
      </c>
      <c r="AR10">
        <v>10086</v>
      </c>
      <c r="AS10">
        <v>11014</v>
      </c>
      <c r="AT10">
        <f>42238-SUM(AQ10:AS10)</f>
        <v>12818</v>
      </c>
      <c r="AU10">
        <v>10172</v>
      </c>
      <c r="AV10">
        <v>10745</v>
      </c>
      <c r="AW10">
        <v>10551</v>
      </c>
      <c r="AX10">
        <f>44370-(AU10+AV10+AW10)</f>
        <v>12902</v>
      </c>
      <c r="AY10">
        <v>9662</v>
      </c>
      <c r="AZ10">
        <v>10512</v>
      </c>
    </row>
    <row r="11" spans="2:52" x14ac:dyDescent="0.2">
      <c r="B11" t="s">
        <v>57</v>
      </c>
      <c r="C11">
        <v>200</v>
      </c>
      <c r="D11">
        <v>232</v>
      </c>
      <c r="E11">
        <v>230</v>
      </c>
      <c r="F11">
        <f>896-SUM(C11:E11)</f>
        <v>234</v>
      </c>
      <c r="G11">
        <v>246</v>
      </c>
      <c r="H11">
        <v>286</v>
      </c>
      <c r="I11">
        <v>278</v>
      </c>
      <c r="J11">
        <f>1129-SUM(G11:I11)</f>
        <v>319</v>
      </c>
      <c r="K11">
        <v>327</v>
      </c>
      <c r="L11">
        <v>377</v>
      </c>
      <c r="M11">
        <v>406</v>
      </c>
      <c r="N11">
        <f>1552-SUM(K11:M11)</f>
        <v>442</v>
      </c>
      <c r="O11">
        <v>427</v>
      </c>
      <c r="P11">
        <v>467</v>
      </c>
      <c r="Q11">
        <v>463</v>
      </c>
      <c r="R11">
        <f>1747-SUM(O11:Q11)</f>
        <v>390</v>
      </c>
      <c r="S11">
        <v>497</v>
      </c>
      <c r="T11">
        <v>580</v>
      </c>
      <c r="U11">
        <v>639</v>
      </c>
      <c r="V11">
        <f>2432-SUM(S11:U11)</f>
        <v>716</v>
      </c>
      <c r="W11">
        <v>795</v>
      </c>
      <c r="X11">
        <v>874</v>
      </c>
      <c r="Y11">
        <v>960</v>
      </c>
      <c r="Z11">
        <f>3674-SUM(W11:Y11)</f>
        <v>1045</v>
      </c>
      <c r="AA11">
        <v>1067</v>
      </c>
      <c r="AB11">
        <v>1111</v>
      </c>
      <c r="AC11">
        <v>1041</v>
      </c>
      <c r="AD11">
        <f>4336-SUM(AA11:AC11)</f>
        <v>1117</v>
      </c>
      <c r="AE11">
        <v>1173</v>
      </c>
      <c r="AF11">
        <v>1270</v>
      </c>
      <c r="AG11">
        <v>1348</v>
      </c>
      <c r="AH11">
        <f>5203-SUM(AE11:AG11)</f>
        <v>1412</v>
      </c>
      <c r="AI11">
        <v>1452</v>
      </c>
      <c r="AJ11">
        <v>1580</v>
      </c>
      <c r="AK11">
        <v>1668</v>
      </c>
      <c r="AL11">
        <f>6668-SUM(AI11:AK11)</f>
        <v>1968</v>
      </c>
      <c r="AM11">
        <v>1987</v>
      </c>
      <c r="AN11">
        <v>2158</v>
      </c>
      <c r="AO11">
        <v>2153</v>
      </c>
      <c r="AP11">
        <f>8823-(AM11+AN11+AO11)</f>
        <v>2525</v>
      </c>
      <c r="AQ11">
        <v>2594</v>
      </c>
      <c r="AR11">
        <v>2903</v>
      </c>
      <c r="AS11">
        <v>3061</v>
      </c>
      <c r="AT11">
        <f>11891-SUM(AQ11:AS11)</f>
        <v>3333</v>
      </c>
      <c r="AU11">
        <v>3043</v>
      </c>
      <c r="AV11">
        <v>3202</v>
      </c>
      <c r="AW11">
        <v>2561</v>
      </c>
      <c r="AX11">
        <f>11816-(AU11+AV11+AW11)</f>
        <v>3010</v>
      </c>
      <c r="AY11">
        <v>2742</v>
      </c>
      <c r="AZ11">
        <v>3041</v>
      </c>
    </row>
    <row r="12" spans="2:52" x14ac:dyDescent="0.2">
      <c r="B12" t="s">
        <v>58</v>
      </c>
      <c r="C12">
        <v>46</v>
      </c>
      <c r="D12">
        <v>32</v>
      </c>
      <c r="E12">
        <v>43</v>
      </c>
      <c r="F12">
        <f>159-SUM(C12:E12)</f>
        <v>38</v>
      </c>
      <c r="G12">
        <v>31</v>
      </c>
      <c r="H12">
        <v>32</v>
      </c>
      <c r="I12">
        <v>11</v>
      </c>
      <c r="J12">
        <f>114-SUM(G12:I12)</f>
        <v>40</v>
      </c>
      <c r="K12">
        <v>35</v>
      </c>
      <c r="L12">
        <v>28</v>
      </c>
      <c r="M12">
        <v>31</v>
      </c>
      <c r="N12">
        <f>133-SUM(K12:M12)</f>
        <v>39</v>
      </c>
      <c r="O12">
        <v>44</v>
      </c>
      <c r="P12">
        <v>48</v>
      </c>
      <c r="Q12">
        <v>43</v>
      </c>
      <c r="R12">
        <f>171-SUM(O12:Q12)</f>
        <v>36</v>
      </c>
      <c r="S12">
        <v>45</v>
      </c>
      <c r="T12">
        <v>55</v>
      </c>
      <c r="U12">
        <v>32</v>
      </c>
      <c r="V12">
        <f>167-SUM(S12:U12)</f>
        <v>35</v>
      </c>
      <c r="W12">
        <v>44</v>
      </c>
      <c r="X12">
        <v>66</v>
      </c>
      <c r="Y12">
        <v>45</v>
      </c>
      <c r="Z12">
        <f>214-SUM(W12:Y12)</f>
        <v>59</v>
      </c>
      <c r="AA12">
        <v>63</v>
      </c>
      <c r="AB12">
        <v>80</v>
      </c>
      <c r="AC12">
        <v>68</v>
      </c>
      <c r="AD12">
        <f>296-SUM(AA12:AC12)</f>
        <v>85</v>
      </c>
      <c r="AE12">
        <v>-5</v>
      </c>
      <c r="AF12">
        <v>86</v>
      </c>
      <c r="AG12">
        <v>55</v>
      </c>
      <c r="AH12">
        <f>201-SUM(AE12:AG12)</f>
        <v>65</v>
      </c>
      <c r="AI12">
        <v>70</v>
      </c>
      <c r="AJ12">
        <v>290</v>
      </c>
      <c r="AK12">
        <v>62</v>
      </c>
      <c r="AL12">
        <f>-75-SUM(AI12:AK12)</f>
        <v>-497</v>
      </c>
      <c r="AM12">
        <v>38</v>
      </c>
      <c r="AN12">
        <v>11</v>
      </c>
      <c r="AO12">
        <v>-11</v>
      </c>
      <c r="AP12">
        <f>62-(AM12+AN12+AO12)</f>
        <v>24</v>
      </c>
      <c r="AQ12">
        <v>249</v>
      </c>
      <c r="AR12">
        <v>90</v>
      </c>
      <c r="AS12">
        <v>165</v>
      </c>
      <c r="AT12">
        <f>1263-SUM(AQ12:AS12)</f>
        <v>759</v>
      </c>
      <c r="AU12">
        <v>223</v>
      </c>
      <c r="AV12">
        <v>146</v>
      </c>
      <c r="AW12">
        <v>244</v>
      </c>
      <c r="AX12">
        <f>767-(AU12+AV12+AW12)</f>
        <v>154</v>
      </c>
      <c r="AY12">
        <v>228</v>
      </c>
      <c r="AZ12">
        <v>97</v>
      </c>
    </row>
    <row r="13" spans="2:52" x14ac:dyDescent="0.2">
      <c r="B13" s="17" t="s">
        <v>59</v>
      </c>
      <c r="C13" s="17">
        <f>SUMPRODUCT(C7:C12)</f>
        <v>12993</v>
      </c>
      <c r="D13" s="17">
        <f t="shared" ref="D13:I13" si="5">SUMPRODUCT(D7:D12)</f>
        <v>12727</v>
      </c>
      <c r="E13" s="17">
        <f t="shared" si="5"/>
        <v>13834</v>
      </c>
      <c r="F13" s="17">
        <f t="shared" si="5"/>
        <v>20863</v>
      </c>
      <c r="G13" s="17">
        <f t="shared" si="5"/>
        <v>15889</v>
      </c>
      <c r="H13" s="17">
        <f t="shared" si="5"/>
        <v>15625</v>
      </c>
      <c r="I13" s="17">
        <f t="shared" si="5"/>
        <v>17117</v>
      </c>
      <c r="J13" s="17">
        <f>SUMPRODUCT(J7:J12)</f>
        <v>25076</v>
      </c>
      <c r="K13" s="17">
        <f t="shared" ref="K13:AE13" si="6">SUMPRODUCT(K7:K12)</f>
        <v>19595</v>
      </c>
      <c r="L13" s="17">
        <f t="shared" si="6"/>
        <v>19355</v>
      </c>
      <c r="M13" s="17">
        <f t="shared" si="6"/>
        <v>21123</v>
      </c>
      <c r="N13" s="17">
        <f t="shared" si="6"/>
        <v>28737</v>
      </c>
      <c r="O13" s="17">
        <f t="shared" si="6"/>
        <v>22462</v>
      </c>
      <c r="P13" s="17">
        <f t="shared" si="6"/>
        <v>22721</v>
      </c>
      <c r="Q13" s="17">
        <f t="shared" si="6"/>
        <v>24952</v>
      </c>
      <c r="R13" s="17">
        <f t="shared" si="6"/>
        <v>34638</v>
      </c>
      <c r="S13" s="17">
        <f t="shared" si="6"/>
        <v>28057</v>
      </c>
      <c r="T13" s="17">
        <f t="shared" si="6"/>
        <v>29119</v>
      </c>
      <c r="U13" s="17">
        <f t="shared" si="6"/>
        <v>32139</v>
      </c>
      <c r="V13" s="17">
        <f t="shared" si="6"/>
        <v>42486</v>
      </c>
      <c r="W13" s="17">
        <f t="shared" si="6"/>
        <v>34709</v>
      </c>
      <c r="X13" s="17">
        <f t="shared" si="6"/>
        <v>37327</v>
      </c>
      <c r="Y13" s="17">
        <f t="shared" si="6"/>
        <v>43397</v>
      </c>
      <c r="Z13" s="17">
        <f t="shared" si="6"/>
        <v>58327</v>
      </c>
      <c r="AA13" s="17">
        <f t="shared" si="6"/>
        <v>49115</v>
      </c>
      <c r="AB13" s="17">
        <f t="shared" si="6"/>
        <v>49903</v>
      </c>
      <c r="AC13" s="17">
        <f t="shared" si="6"/>
        <v>52852</v>
      </c>
      <c r="AD13" s="17">
        <f t="shared" si="6"/>
        <v>68596</v>
      </c>
      <c r="AE13" s="17">
        <f t="shared" si="6"/>
        <v>55280</v>
      </c>
      <c r="AF13" s="17">
        <f t="shared" ref="AF13:AL13" si="7">SUMPRODUCT(AF7:AF12)</f>
        <v>60320</v>
      </c>
      <c r="AG13" s="17">
        <f t="shared" si="7"/>
        <v>66824</v>
      </c>
      <c r="AH13" s="17">
        <f t="shared" si="7"/>
        <v>83557</v>
      </c>
      <c r="AI13" s="17">
        <f t="shared" si="7"/>
        <v>71463</v>
      </c>
      <c r="AJ13" s="17">
        <f t="shared" si="7"/>
        <v>83069</v>
      </c>
      <c r="AK13" s="17">
        <f t="shared" si="7"/>
        <v>89951</v>
      </c>
      <c r="AL13" s="17">
        <f t="shared" si="7"/>
        <v>118682</v>
      </c>
      <c r="AM13" s="17">
        <f>SUMPRODUCT(AM7:AM12)</f>
        <v>99653</v>
      </c>
      <c r="AN13" s="17">
        <f t="shared" ref="AN13:AU13" si="8">SUMPRODUCT(AN7:AN12)</f>
        <v>105378</v>
      </c>
      <c r="AO13" s="17">
        <f t="shared" si="8"/>
        <v>105960</v>
      </c>
      <c r="AP13" s="17">
        <f t="shared" si="8"/>
        <v>133952</v>
      </c>
      <c r="AQ13" s="17">
        <f t="shared" si="8"/>
        <v>112775</v>
      </c>
      <c r="AR13" s="17">
        <f t="shared" si="8"/>
        <v>117917</v>
      </c>
      <c r="AS13" s="17">
        <f t="shared" si="8"/>
        <v>124576</v>
      </c>
      <c r="AT13" s="17">
        <f t="shared" si="8"/>
        <v>146467</v>
      </c>
      <c r="AU13" s="17">
        <f t="shared" si="8"/>
        <v>122584</v>
      </c>
      <c r="AV13" s="17">
        <f t="shared" ref="AV13:AZ13" si="9">SUMPRODUCT(AV7:AV12)</f>
        <v>126702</v>
      </c>
      <c r="AW13" s="17">
        <f t="shared" si="9"/>
        <v>131895</v>
      </c>
      <c r="AX13" s="17">
        <f t="shared" si="9"/>
        <v>156752</v>
      </c>
      <c r="AY13" s="17">
        <f t="shared" si="9"/>
        <v>128006</v>
      </c>
      <c r="AZ13" s="17">
        <f t="shared" si="9"/>
        <v>133305</v>
      </c>
    </row>
    <row r="14" spans="2:52" x14ac:dyDescent="0.2">
      <c r="B14" s="17" t="s">
        <v>60</v>
      </c>
      <c r="C14" s="17">
        <f>C6-C13</f>
        <v>192</v>
      </c>
      <c r="D14" s="17">
        <f t="shared" ref="D14:J14" si="10">D6-D13</f>
        <v>107</v>
      </c>
      <c r="E14" s="17">
        <f t="shared" si="10"/>
        <v>-28</v>
      </c>
      <c r="F14" s="17">
        <f t="shared" si="10"/>
        <v>405</v>
      </c>
      <c r="G14" s="17">
        <f t="shared" si="10"/>
        <v>181</v>
      </c>
      <c r="H14" s="17">
        <f t="shared" si="10"/>
        <v>79</v>
      </c>
      <c r="I14" s="17">
        <f t="shared" si="10"/>
        <v>-25</v>
      </c>
      <c r="J14" s="17">
        <f t="shared" si="10"/>
        <v>510</v>
      </c>
      <c r="K14" s="17">
        <f>K6-K13</f>
        <v>146</v>
      </c>
      <c r="L14" s="17">
        <f t="shared" ref="L14" si="11">L6-L13</f>
        <v>-15</v>
      </c>
      <c r="M14" s="17">
        <f t="shared" ref="M14" si="12">M6-M13</f>
        <v>-544</v>
      </c>
      <c r="N14" s="17">
        <f>N6-N13</f>
        <v>591</v>
      </c>
      <c r="O14" s="17">
        <f t="shared" ref="O14" si="13">O6-O13</f>
        <v>255</v>
      </c>
      <c r="P14" s="17">
        <f t="shared" ref="P14" si="14">P6-P13</f>
        <v>464</v>
      </c>
      <c r="Q14" s="17">
        <f t="shared" ref="Q14" si="15">Q6-Q13</f>
        <v>406</v>
      </c>
      <c r="R14" s="17">
        <f t="shared" ref="R14" si="16">R6-R13</f>
        <v>1108</v>
      </c>
      <c r="S14" s="17">
        <f t="shared" ref="S14" si="17">S6-S13</f>
        <v>1071</v>
      </c>
      <c r="T14" s="17">
        <f>T6-T13</f>
        <v>1285</v>
      </c>
      <c r="U14" s="17">
        <f t="shared" ref="U14" si="18">U6-U13</f>
        <v>575</v>
      </c>
      <c r="V14" s="17">
        <f>V6-V13</f>
        <v>1255</v>
      </c>
      <c r="W14" s="17">
        <f t="shared" ref="W14" si="19">W6-W13</f>
        <v>1005</v>
      </c>
      <c r="X14" s="17">
        <f t="shared" ref="X14" si="20">X6-X13</f>
        <v>628</v>
      </c>
      <c r="Y14" s="17">
        <f>Y6-Y13</f>
        <v>347</v>
      </c>
      <c r="Z14" s="17">
        <f t="shared" ref="Z14" si="21">Z6-Z13</f>
        <v>2126</v>
      </c>
      <c r="AA14" s="17">
        <f t="shared" ref="AA14" si="22">AA6-AA13</f>
        <v>1927</v>
      </c>
      <c r="AB14" s="17">
        <f t="shared" ref="AB14" si="23">AB6-AB13</f>
        <v>2983</v>
      </c>
      <c r="AC14" s="17">
        <f t="shared" ref="AC14" si="24">AC6-AC13</f>
        <v>3724</v>
      </c>
      <c r="AD14" s="17">
        <f t="shared" ref="AD14" si="25">AD6-AD13</f>
        <v>3787</v>
      </c>
      <c r="AE14" s="17">
        <f t="shared" ref="AE14" si="26">AE6-AE13</f>
        <v>4420</v>
      </c>
      <c r="AF14" s="17">
        <f t="shared" ref="AF14" si="27">AF6-AF13</f>
        <v>3084</v>
      </c>
      <c r="AG14" s="17">
        <f>AG6-AG13</f>
        <v>3157</v>
      </c>
      <c r="AH14" s="17">
        <f t="shared" ref="AH14" si="28">AH6-AH13</f>
        <v>3880</v>
      </c>
      <c r="AI14" s="17">
        <f t="shared" ref="AI14" si="29">AI6-AI13</f>
        <v>3989</v>
      </c>
      <c r="AJ14" s="17">
        <f t="shared" ref="AJ14" si="30">AJ6-AJ13</f>
        <v>5843</v>
      </c>
      <c r="AK14" s="17">
        <f t="shared" ref="AK14" si="31">AK6-AK13</f>
        <v>6194</v>
      </c>
      <c r="AL14" s="17">
        <f t="shared" ref="AL14" si="32">AL6-AL13</f>
        <v>6873</v>
      </c>
      <c r="AM14" s="17">
        <f t="shared" ref="AM14" si="33">AM6-AM13</f>
        <v>8865</v>
      </c>
      <c r="AN14" s="17">
        <f t="shared" ref="AN14" si="34">AN6-AN13</f>
        <v>7702</v>
      </c>
      <c r="AO14" s="17">
        <f t="shared" ref="AO14" si="35">AO6-AO13</f>
        <v>4852</v>
      </c>
      <c r="AP14" s="17">
        <f t="shared" ref="AP14" si="36">AP6-AP13</f>
        <v>3460</v>
      </c>
      <c r="AQ14" s="17">
        <f t="shared" ref="AQ14" si="37">AQ6-AQ13</f>
        <v>3669</v>
      </c>
      <c r="AR14" s="17">
        <f t="shared" ref="AR14" si="38">AR6-AR13</f>
        <v>3317</v>
      </c>
      <c r="AS14" s="17">
        <f t="shared" ref="AS14" si="39">AS6-AS13</f>
        <v>2525</v>
      </c>
      <c r="AT14" s="17">
        <f t="shared" ref="AT14" si="40">AT6-AT13</f>
        <v>2737</v>
      </c>
      <c r="AU14" s="17">
        <f t="shared" ref="AU14" si="41">AU6-AU13</f>
        <v>4774</v>
      </c>
      <c r="AV14" s="17">
        <f t="shared" ref="AV14" si="42">AV6-AV13</f>
        <v>7681</v>
      </c>
      <c r="AW14" s="17">
        <f t="shared" ref="AW14" si="43">AW6-AW13</f>
        <v>11188</v>
      </c>
      <c r="AX14" s="17">
        <f t="shared" ref="AX14" si="44">AX6-AX13</f>
        <v>13209</v>
      </c>
      <c r="AY14" s="17">
        <f t="shared" ref="AY14" si="45">AY6-AY13</f>
        <v>15307</v>
      </c>
      <c r="AZ14" s="17">
        <f>AZ6-AZ13</f>
        <v>14672</v>
      </c>
    </row>
    <row r="15" spans="2:52" x14ac:dyDescent="0.2">
      <c r="B15" t="s">
        <v>61</v>
      </c>
      <c r="C15">
        <v>12</v>
      </c>
      <c r="D15">
        <v>10</v>
      </c>
      <c r="E15">
        <v>10</v>
      </c>
      <c r="F15">
        <f>40-SUM(C15:E15)</f>
        <v>8</v>
      </c>
      <c r="G15">
        <v>10</v>
      </c>
      <c r="H15">
        <v>9</v>
      </c>
      <c r="I15">
        <v>9</v>
      </c>
      <c r="J15">
        <f>38-SUM(G15:I15)</f>
        <v>10</v>
      </c>
      <c r="K15">
        <v>11</v>
      </c>
      <c r="L15">
        <v>11</v>
      </c>
      <c r="M15">
        <v>9</v>
      </c>
      <c r="N15">
        <f>39-SUM(K15:M15)</f>
        <v>8</v>
      </c>
      <c r="O15">
        <v>11</v>
      </c>
      <c r="P15">
        <v>12</v>
      </c>
      <c r="Q15">
        <v>13</v>
      </c>
      <c r="R15">
        <f>50-SUM(O15:Q15)</f>
        <v>14</v>
      </c>
      <c r="S15">
        <v>21</v>
      </c>
      <c r="T15">
        <v>24</v>
      </c>
      <c r="U15">
        <v>26</v>
      </c>
      <c r="V15">
        <f>100-SUM(S15:U15)</f>
        <v>29</v>
      </c>
      <c r="W15">
        <v>39</v>
      </c>
      <c r="X15">
        <v>44</v>
      </c>
      <c r="Y15">
        <v>54</v>
      </c>
      <c r="Z15">
        <f>202-SUM(W15:Y15)</f>
        <v>65</v>
      </c>
      <c r="AA15">
        <v>80</v>
      </c>
      <c r="AB15">
        <v>94</v>
      </c>
      <c r="AC15">
        <v>117</v>
      </c>
      <c r="AD15">
        <f>440-SUM(AA15:AC15)</f>
        <v>149</v>
      </c>
      <c r="AE15">
        <v>183</v>
      </c>
      <c r="AF15">
        <v>215</v>
      </c>
      <c r="AG15">
        <v>224</v>
      </c>
      <c r="AH15">
        <f>832-SUM(AE15:AG15)</f>
        <v>210</v>
      </c>
      <c r="AI15">
        <v>202</v>
      </c>
      <c r="AJ15">
        <v>135</v>
      </c>
      <c r="AK15">
        <v>118</v>
      </c>
      <c r="AL15">
        <f>555-SUM(AI15:AK15)</f>
        <v>100</v>
      </c>
      <c r="AM15">
        <v>105</v>
      </c>
      <c r="AN15">
        <v>106</v>
      </c>
      <c r="AO15">
        <v>119</v>
      </c>
      <c r="AP15">
        <f>448-(AM15+AN15+AO15)</f>
        <v>118</v>
      </c>
      <c r="AQ15">
        <v>108</v>
      </c>
      <c r="AR15">
        <v>159</v>
      </c>
      <c r="AS15">
        <v>277</v>
      </c>
      <c r="AT15">
        <f>989-SUM(AQ15:AS15)</f>
        <v>445</v>
      </c>
      <c r="AU15">
        <v>611</v>
      </c>
      <c r="AV15">
        <v>661</v>
      </c>
      <c r="AW15">
        <v>776</v>
      </c>
      <c r="AX15">
        <f>2949-(AU15+AV15+AW15)</f>
        <v>901</v>
      </c>
      <c r="AY15">
        <v>993</v>
      </c>
      <c r="AZ15">
        <v>1180</v>
      </c>
    </row>
    <row r="16" spans="2:52" x14ac:dyDescent="0.2">
      <c r="B16" t="s">
        <v>62</v>
      </c>
      <c r="C16">
        <v>-21</v>
      </c>
      <c r="D16">
        <v>-21</v>
      </c>
      <c r="E16">
        <v>-22</v>
      </c>
      <c r="F16">
        <f>-92-SUM(C16:E16)</f>
        <v>-28</v>
      </c>
      <c r="G16">
        <v>-33</v>
      </c>
      <c r="H16">
        <v>-33</v>
      </c>
      <c r="I16">
        <v>-36</v>
      </c>
      <c r="J16">
        <f>-141-SUM(G16:I16)</f>
        <v>-39</v>
      </c>
      <c r="K16">
        <v>-42</v>
      </c>
      <c r="L16">
        <v>-45</v>
      </c>
      <c r="M16">
        <v>-49</v>
      </c>
      <c r="N16">
        <f>-210-SUM(K16:M16)</f>
        <v>-74</v>
      </c>
      <c r="O16">
        <v>-115</v>
      </c>
      <c r="P16">
        <v>-114</v>
      </c>
      <c r="Q16">
        <v>-116</v>
      </c>
      <c r="R16">
        <f>-459-SUM(O16:Q16)</f>
        <v>-114</v>
      </c>
      <c r="S16">
        <v>-117</v>
      </c>
      <c r="T16">
        <v>-116</v>
      </c>
      <c r="U16">
        <v>-118</v>
      </c>
      <c r="V16">
        <f>-484-SUM(S16:U16)</f>
        <v>-133</v>
      </c>
      <c r="W16">
        <v>-139</v>
      </c>
      <c r="X16">
        <v>-143</v>
      </c>
      <c r="Y16">
        <v>-228</v>
      </c>
      <c r="Z16">
        <f>-848-SUM(W16:Y16)</f>
        <v>-338</v>
      </c>
      <c r="AA16">
        <v>-330</v>
      </c>
      <c r="AB16">
        <v>-343</v>
      </c>
      <c r="AC16">
        <v>-358</v>
      </c>
      <c r="AD16">
        <f>-1417-SUM(AA16:AC16)</f>
        <v>-386</v>
      </c>
      <c r="AE16">
        <v>-366</v>
      </c>
      <c r="AF16">
        <v>-383</v>
      </c>
      <c r="AG16">
        <v>-396</v>
      </c>
      <c r="AH16">
        <f>-1600-SUM(AE16:AG16)</f>
        <v>-455</v>
      </c>
      <c r="AI16">
        <v>-402</v>
      </c>
      <c r="AJ16">
        <v>-403</v>
      </c>
      <c r="AK16">
        <v>-428</v>
      </c>
      <c r="AL16">
        <f>-1647-SUM(AI16:AK16)</f>
        <v>-414</v>
      </c>
      <c r="AM16">
        <v>-399</v>
      </c>
      <c r="AN16">
        <v>-435</v>
      </c>
      <c r="AO16">
        <v>-493</v>
      </c>
      <c r="AP16">
        <f>-1809-(AM16+AN16+AO16)</f>
        <v>-482</v>
      </c>
      <c r="AQ16">
        <v>-472</v>
      </c>
      <c r="AR16">
        <v>-584</v>
      </c>
      <c r="AS16">
        <v>-617</v>
      </c>
      <c r="AT16">
        <f>-2367-SUM(AQ16:AS16)</f>
        <v>-694</v>
      </c>
      <c r="AU16">
        <v>-823</v>
      </c>
      <c r="AV16">
        <v>-840</v>
      </c>
      <c r="AW16">
        <v>-806</v>
      </c>
      <c r="AX16">
        <f>-3182-(AU16+AV16+AW16)</f>
        <v>-713</v>
      </c>
      <c r="AY16">
        <v>-644</v>
      </c>
      <c r="AZ16">
        <v>-589</v>
      </c>
    </row>
    <row r="17" spans="2:52" x14ac:dyDescent="0.2">
      <c r="B17" t="s">
        <v>63</v>
      </c>
      <c r="C17">
        <v>-99</v>
      </c>
      <c r="D17">
        <v>50</v>
      </c>
      <c r="E17">
        <v>18</v>
      </c>
      <c r="F17">
        <f>-80-SUM(C17:E17)</f>
        <v>-49</v>
      </c>
      <c r="G17">
        <v>-77</v>
      </c>
      <c r="H17">
        <v>-38</v>
      </c>
      <c r="I17">
        <v>9</v>
      </c>
      <c r="J17">
        <f>-136-SUM(G17:I17)</f>
        <v>-30</v>
      </c>
      <c r="K17">
        <v>5</v>
      </c>
      <c r="L17">
        <v>22</v>
      </c>
      <c r="M17">
        <v>-50</v>
      </c>
      <c r="N17">
        <f>-118-SUM(K17:M17)</f>
        <v>-95</v>
      </c>
      <c r="O17">
        <v>-130</v>
      </c>
      <c r="P17">
        <v>0</v>
      </c>
      <c r="Q17">
        <v>-56</v>
      </c>
      <c r="R17">
        <f>-256-SUM(O17:Q17)</f>
        <v>-70</v>
      </c>
      <c r="S17">
        <v>81</v>
      </c>
      <c r="T17">
        <v>-14</v>
      </c>
      <c r="U17">
        <v>8</v>
      </c>
      <c r="V17">
        <f>90-SUM(S17:U17)</f>
        <v>15</v>
      </c>
      <c r="W17">
        <v>48</v>
      </c>
      <c r="X17">
        <v>137</v>
      </c>
      <c r="Y17">
        <v>143</v>
      </c>
      <c r="Z17">
        <f>346-SUM(W17:Y17)</f>
        <v>18</v>
      </c>
      <c r="AA17">
        <v>239</v>
      </c>
      <c r="AB17">
        <v>-129</v>
      </c>
      <c r="AC17">
        <v>-93</v>
      </c>
      <c r="AD17">
        <f>-183-SUM(AA17:AC17)</f>
        <v>-200</v>
      </c>
      <c r="AE17">
        <v>164</v>
      </c>
      <c r="AF17">
        <v>-27</v>
      </c>
      <c r="AG17">
        <v>-353</v>
      </c>
      <c r="AH17">
        <f>203-SUM(AE17:AG17)</f>
        <v>419</v>
      </c>
      <c r="AI17">
        <v>-406</v>
      </c>
      <c r="AJ17">
        <v>646</v>
      </c>
      <c r="AK17">
        <v>925</v>
      </c>
      <c r="AL17">
        <f>2371-SUM(AI17:AK17)</f>
        <v>1206</v>
      </c>
      <c r="AM17">
        <v>1697</v>
      </c>
      <c r="AN17">
        <v>1261</v>
      </c>
      <c r="AO17">
        <v>-163</v>
      </c>
      <c r="AP17">
        <f>14633-(AM17+AN17+AO17)</f>
        <v>11838</v>
      </c>
      <c r="AQ17">
        <v>-8570</v>
      </c>
      <c r="AR17">
        <v>-5545</v>
      </c>
      <c r="AS17">
        <v>759</v>
      </c>
      <c r="AT17">
        <f>-16806-SUM(AQ17:AS17)</f>
        <v>-3450</v>
      </c>
      <c r="AU17">
        <v>-443</v>
      </c>
      <c r="AV17">
        <v>61</v>
      </c>
      <c r="AW17">
        <v>1031</v>
      </c>
      <c r="AX17">
        <f>938-(AU17+AV17+AW17)</f>
        <v>289</v>
      </c>
      <c r="AY17">
        <v>-2673</v>
      </c>
      <c r="AZ17">
        <v>-18</v>
      </c>
    </row>
    <row r="18" spans="2:52" x14ac:dyDescent="0.2">
      <c r="B18" t="s">
        <v>64</v>
      </c>
      <c r="C18">
        <f>SUMPRODUCT(C15:C17)</f>
        <v>-108</v>
      </c>
      <c r="D18">
        <f t="shared" ref="D18:I18" si="46">SUMPRODUCT(D15:D17)</f>
        <v>39</v>
      </c>
      <c r="E18">
        <f t="shared" si="46"/>
        <v>6</v>
      </c>
      <c r="F18">
        <f t="shared" si="46"/>
        <v>-69</v>
      </c>
      <c r="G18">
        <f t="shared" si="46"/>
        <v>-100</v>
      </c>
      <c r="H18">
        <f t="shared" si="46"/>
        <v>-62</v>
      </c>
      <c r="I18">
        <f t="shared" si="46"/>
        <v>-18</v>
      </c>
      <c r="J18">
        <f>SUMPRODUCT(J15:J17)</f>
        <v>-59</v>
      </c>
      <c r="K18">
        <f t="shared" ref="K18:AF18" si="47">SUMPRODUCT(K15:K17)</f>
        <v>-26</v>
      </c>
      <c r="L18">
        <f t="shared" si="47"/>
        <v>-12</v>
      </c>
      <c r="M18">
        <f t="shared" si="47"/>
        <v>-90</v>
      </c>
      <c r="N18">
        <f t="shared" si="47"/>
        <v>-161</v>
      </c>
      <c r="O18">
        <f t="shared" si="47"/>
        <v>-234</v>
      </c>
      <c r="P18">
        <f t="shared" si="47"/>
        <v>-102</v>
      </c>
      <c r="Q18">
        <f t="shared" si="47"/>
        <v>-159</v>
      </c>
      <c r="R18">
        <f t="shared" si="47"/>
        <v>-170</v>
      </c>
      <c r="S18">
        <f t="shared" si="47"/>
        <v>-15</v>
      </c>
      <c r="T18">
        <f t="shared" si="47"/>
        <v>-106</v>
      </c>
      <c r="U18">
        <f t="shared" si="47"/>
        <v>-84</v>
      </c>
      <c r="V18">
        <f t="shared" si="47"/>
        <v>-89</v>
      </c>
      <c r="W18">
        <f t="shared" si="47"/>
        <v>-52</v>
      </c>
      <c r="X18">
        <f t="shared" si="47"/>
        <v>38</v>
      </c>
      <c r="Y18">
        <f t="shared" si="47"/>
        <v>-31</v>
      </c>
      <c r="Z18">
        <f t="shared" si="47"/>
        <v>-255</v>
      </c>
      <c r="AA18">
        <f t="shared" si="47"/>
        <v>-11</v>
      </c>
      <c r="AB18">
        <f t="shared" si="47"/>
        <v>-378</v>
      </c>
      <c r="AC18">
        <f t="shared" si="47"/>
        <v>-334</v>
      </c>
      <c r="AD18">
        <f t="shared" si="47"/>
        <v>-437</v>
      </c>
      <c r="AE18">
        <f t="shared" si="47"/>
        <v>-19</v>
      </c>
      <c r="AF18">
        <f t="shared" si="47"/>
        <v>-195</v>
      </c>
      <c r="AG18">
        <f t="shared" ref="AG18:AL18" si="48">SUMPRODUCT(AG15:AG17)</f>
        <v>-525</v>
      </c>
      <c r="AH18">
        <f t="shared" si="48"/>
        <v>174</v>
      </c>
      <c r="AI18">
        <f t="shared" si="48"/>
        <v>-606</v>
      </c>
      <c r="AJ18">
        <f t="shared" si="48"/>
        <v>378</v>
      </c>
      <c r="AK18">
        <f t="shared" si="48"/>
        <v>615</v>
      </c>
      <c r="AL18">
        <f t="shared" si="48"/>
        <v>892</v>
      </c>
      <c r="AM18">
        <f>SUMPRODUCT(AM15:AM17)</f>
        <v>1403</v>
      </c>
      <c r="AN18">
        <f t="shared" ref="AN18:AU18" si="49">SUMPRODUCT(AN15:AN17)</f>
        <v>932</v>
      </c>
      <c r="AO18">
        <f t="shared" si="49"/>
        <v>-537</v>
      </c>
      <c r="AP18">
        <f t="shared" si="49"/>
        <v>11474</v>
      </c>
      <c r="AQ18">
        <f t="shared" si="49"/>
        <v>-8934</v>
      </c>
      <c r="AR18">
        <f t="shared" si="49"/>
        <v>-5970</v>
      </c>
      <c r="AS18">
        <f t="shared" si="49"/>
        <v>419</v>
      </c>
      <c r="AT18">
        <f t="shared" si="49"/>
        <v>-3699</v>
      </c>
      <c r="AU18">
        <f t="shared" si="49"/>
        <v>-655</v>
      </c>
      <c r="AV18">
        <f t="shared" ref="AV18:AZ18" si="50">SUMPRODUCT(AV15:AV17)</f>
        <v>-118</v>
      </c>
      <c r="AW18">
        <f t="shared" si="50"/>
        <v>1001</v>
      </c>
      <c r="AX18">
        <f t="shared" si="50"/>
        <v>477</v>
      </c>
      <c r="AY18">
        <f t="shared" si="50"/>
        <v>-2324</v>
      </c>
      <c r="AZ18">
        <f t="shared" si="50"/>
        <v>573</v>
      </c>
    </row>
    <row r="19" spans="2:52" x14ac:dyDescent="0.2">
      <c r="B19" t="s">
        <v>65</v>
      </c>
      <c r="C19">
        <f>SUMPRODUCT(C14:C17)</f>
        <v>84</v>
      </c>
      <c r="D19">
        <f t="shared" ref="D19:I19" si="51">SUMPRODUCT(D14:D17)</f>
        <v>146</v>
      </c>
      <c r="E19">
        <f t="shared" si="51"/>
        <v>-22</v>
      </c>
      <c r="F19">
        <f t="shared" si="51"/>
        <v>336</v>
      </c>
      <c r="G19">
        <f t="shared" si="51"/>
        <v>81</v>
      </c>
      <c r="H19">
        <f t="shared" si="51"/>
        <v>17</v>
      </c>
      <c r="I19">
        <f t="shared" si="51"/>
        <v>-43</v>
      </c>
      <c r="J19">
        <f>SUMPRODUCT(J14:J17)</f>
        <v>451</v>
      </c>
      <c r="K19">
        <f t="shared" ref="K19:AF19" si="52">SUMPRODUCT(K14:K17)</f>
        <v>120</v>
      </c>
      <c r="L19">
        <f t="shared" si="52"/>
        <v>-27</v>
      </c>
      <c r="M19">
        <f t="shared" si="52"/>
        <v>-634</v>
      </c>
      <c r="N19">
        <f t="shared" si="52"/>
        <v>430</v>
      </c>
      <c r="O19">
        <f t="shared" si="52"/>
        <v>21</v>
      </c>
      <c r="P19">
        <f t="shared" si="52"/>
        <v>362</v>
      </c>
      <c r="Q19">
        <f t="shared" si="52"/>
        <v>247</v>
      </c>
      <c r="R19">
        <f t="shared" si="52"/>
        <v>938</v>
      </c>
      <c r="S19">
        <f t="shared" si="52"/>
        <v>1056</v>
      </c>
      <c r="T19">
        <f t="shared" si="52"/>
        <v>1179</v>
      </c>
      <c r="U19">
        <f t="shared" si="52"/>
        <v>491</v>
      </c>
      <c r="V19">
        <f>SUMPRODUCT(V14:V17)</f>
        <v>1166</v>
      </c>
      <c r="W19">
        <f t="shared" si="52"/>
        <v>953</v>
      </c>
      <c r="X19">
        <f t="shared" si="52"/>
        <v>666</v>
      </c>
      <c r="Y19">
        <f t="shared" si="52"/>
        <v>316</v>
      </c>
      <c r="Z19">
        <f t="shared" si="52"/>
        <v>1871</v>
      </c>
      <c r="AA19">
        <f t="shared" si="52"/>
        <v>1916</v>
      </c>
      <c r="AB19">
        <f t="shared" si="52"/>
        <v>2605</v>
      </c>
      <c r="AC19">
        <f t="shared" si="52"/>
        <v>3390</v>
      </c>
      <c r="AD19">
        <f t="shared" si="52"/>
        <v>3350</v>
      </c>
      <c r="AE19">
        <f t="shared" si="52"/>
        <v>4401</v>
      </c>
      <c r="AF19">
        <f t="shared" si="52"/>
        <v>2889</v>
      </c>
      <c r="AG19">
        <f t="shared" ref="AG19:AL19" si="53">SUMPRODUCT(AG14:AG17)</f>
        <v>2632</v>
      </c>
      <c r="AH19">
        <f t="shared" si="53"/>
        <v>4054</v>
      </c>
      <c r="AI19">
        <f t="shared" si="53"/>
        <v>3383</v>
      </c>
      <c r="AJ19">
        <f t="shared" si="53"/>
        <v>6221</v>
      </c>
      <c r="AK19">
        <f t="shared" si="53"/>
        <v>6809</v>
      </c>
      <c r="AL19">
        <f t="shared" si="53"/>
        <v>7765</v>
      </c>
      <c r="AM19">
        <f>SUMPRODUCT(AM14:AM17)</f>
        <v>10268</v>
      </c>
      <c r="AN19">
        <f t="shared" ref="AN19:AU19" si="54">SUMPRODUCT(AN14:AN17)</f>
        <v>8634</v>
      </c>
      <c r="AO19">
        <f t="shared" si="54"/>
        <v>4315</v>
      </c>
      <c r="AP19">
        <f t="shared" si="54"/>
        <v>14934</v>
      </c>
      <c r="AQ19">
        <f t="shared" si="54"/>
        <v>-5265</v>
      </c>
      <c r="AR19">
        <f t="shared" si="54"/>
        <v>-2653</v>
      </c>
      <c r="AS19">
        <f t="shared" si="54"/>
        <v>2944</v>
      </c>
      <c r="AT19">
        <f t="shared" si="54"/>
        <v>-962</v>
      </c>
      <c r="AU19">
        <f t="shared" si="54"/>
        <v>4119</v>
      </c>
      <c r="AV19">
        <f t="shared" ref="AV19:AZ19" si="55">SUMPRODUCT(AV14:AV17)</f>
        <v>7563</v>
      </c>
      <c r="AW19">
        <v>12189</v>
      </c>
      <c r="AX19">
        <f t="shared" si="55"/>
        <v>13686</v>
      </c>
      <c r="AY19">
        <f t="shared" si="55"/>
        <v>12983</v>
      </c>
      <c r="AZ19">
        <f t="shared" si="55"/>
        <v>15245</v>
      </c>
    </row>
    <row r="20" spans="2:52" x14ac:dyDescent="0.2">
      <c r="B20" t="s">
        <v>66</v>
      </c>
      <c r="C20">
        <v>-43</v>
      </c>
      <c r="D20">
        <v>-109</v>
      </c>
      <c r="E20">
        <v>-83</v>
      </c>
      <c r="F20">
        <f>-428-SUM(C20:E20)</f>
        <v>-193</v>
      </c>
      <c r="G20">
        <v>18</v>
      </c>
      <c r="H20">
        <v>-13</v>
      </c>
      <c r="I20">
        <v>12</v>
      </c>
      <c r="J20">
        <f>-161-SUM(G20:I20)</f>
        <v>-178</v>
      </c>
      <c r="K20">
        <v>-73</v>
      </c>
      <c r="L20">
        <v>-94</v>
      </c>
      <c r="M20">
        <v>205</v>
      </c>
      <c r="N20">
        <f>-167-SUM(K20:M20)</f>
        <v>-205</v>
      </c>
      <c r="O20">
        <v>-71</v>
      </c>
      <c r="P20">
        <v>-266</v>
      </c>
      <c r="Q20">
        <v>-161</v>
      </c>
      <c r="R20">
        <f>-950-SUM(O20:Q20)</f>
        <v>-452</v>
      </c>
      <c r="S20">
        <v>-475</v>
      </c>
      <c r="T20">
        <v>-307</v>
      </c>
      <c r="U20">
        <v>-229</v>
      </c>
      <c r="V20">
        <f>-1425-SUM(S20:U20)</f>
        <v>-414</v>
      </c>
      <c r="W20">
        <v>-229</v>
      </c>
      <c r="X20">
        <v>-467</v>
      </c>
      <c r="Y20">
        <v>-58</v>
      </c>
      <c r="Z20">
        <f>-769-SUM(W20:Y20)</f>
        <v>-15</v>
      </c>
      <c r="AA20">
        <v>-287</v>
      </c>
      <c r="AB20">
        <v>-74</v>
      </c>
      <c r="AC20">
        <v>-508</v>
      </c>
      <c r="AD20">
        <f>-1197-SUM(AA20:AC20)</f>
        <v>-328</v>
      </c>
      <c r="AE20">
        <v>-836</v>
      </c>
      <c r="AF20">
        <v>-257</v>
      </c>
      <c r="AG20">
        <v>-494</v>
      </c>
      <c r="AH20">
        <f>-2374-SUM(AE20:AG20)</f>
        <v>-787</v>
      </c>
      <c r="AI20">
        <v>-744</v>
      </c>
      <c r="AJ20">
        <v>-984</v>
      </c>
      <c r="AK20">
        <v>-569</v>
      </c>
      <c r="AL20">
        <f>-2863-SUM(AI20:AK20)</f>
        <v>-566</v>
      </c>
      <c r="AM20">
        <v>-2156</v>
      </c>
      <c r="AN20">
        <v>-868</v>
      </c>
      <c r="AO20">
        <v>-1155</v>
      </c>
      <c r="AP20">
        <f>-4791-(AM20+AN20+AO20)</f>
        <v>-612</v>
      </c>
      <c r="AQ20">
        <v>1422</v>
      </c>
      <c r="AR20">
        <v>637</v>
      </c>
      <c r="AS20">
        <v>-69</v>
      </c>
      <c r="AT20">
        <f>3217-SUM(AQ20:AS20)</f>
        <v>1227</v>
      </c>
      <c r="AU20">
        <v>-948</v>
      </c>
      <c r="AV20">
        <v>-804</v>
      </c>
      <c r="AW20">
        <v>-2306</v>
      </c>
      <c r="AX20">
        <f>-7120-(AU20+AV20+AW20)</f>
        <v>-3062</v>
      </c>
      <c r="AY20">
        <v>-2467</v>
      </c>
      <c r="AZ20">
        <v>-1767</v>
      </c>
    </row>
    <row r="21" spans="2:52" x14ac:dyDescent="0.2">
      <c r="B21" t="s">
        <v>67</v>
      </c>
      <c r="C21">
        <v>89</v>
      </c>
      <c r="D21">
        <v>-30</v>
      </c>
      <c r="E21">
        <v>-169</v>
      </c>
      <c r="F21">
        <f>-155-SUM(C21:E21)</f>
        <v>-45</v>
      </c>
      <c r="G21">
        <v>-17</v>
      </c>
      <c r="H21">
        <v>-11</v>
      </c>
      <c r="I21">
        <v>-10</v>
      </c>
      <c r="J21">
        <f>-71-SUM(G21:I21)</f>
        <v>-33</v>
      </c>
      <c r="K21">
        <v>61</v>
      </c>
      <c r="L21">
        <v>-5</v>
      </c>
      <c r="M21">
        <v>-8</v>
      </c>
      <c r="N21">
        <f>37-SUM(K21:M21)</f>
        <v>-11</v>
      </c>
      <c r="O21">
        <v>-7</v>
      </c>
      <c r="P21">
        <v>-4</v>
      </c>
      <c r="Q21">
        <v>-7</v>
      </c>
      <c r="R21">
        <f>-22-SUM(O21:Q21)</f>
        <v>-4</v>
      </c>
      <c r="S21">
        <v>-68</v>
      </c>
      <c r="T21">
        <v>-15</v>
      </c>
      <c r="U21">
        <v>-10</v>
      </c>
      <c r="V21">
        <f>-96-SUM(S21:U21)</f>
        <v>-3</v>
      </c>
      <c r="W21">
        <v>0</v>
      </c>
      <c r="X21">
        <v>-2</v>
      </c>
      <c r="Y21">
        <v>-2</v>
      </c>
      <c r="Z21">
        <f>-4-SUM(W21:Y21)</f>
        <v>0</v>
      </c>
      <c r="AA21">
        <v>0</v>
      </c>
      <c r="AB21">
        <v>3</v>
      </c>
      <c r="AC21">
        <v>1</v>
      </c>
      <c r="AD21">
        <f>9-SUM(AA21:AC21)</f>
        <v>5</v>
      </c>
      <c r="AE21">
        <v>-4</v>
      </c>
      <c r="AF21">
        <v>-7</v>
      </c>
      <c r="AG21">
        <v>-4</v>
      </c>
      <c r="AH21">
        <f>-14-SUM(AE21:AG21)</f>
        <v>1</v>
      </c>
      <c r="AI21">
        <v>-104</v>
      </c>
      <c r="AJ21">
        <v>6</v>
      </c>
      <c r="AK21">
        <v>91</v>
      </c>
      <c r="AL21">
        <f>16-SUM(AI21:AK21)</f>
        <v>23</v>
      </c>
      <c r="AM21">
        <v>-5</v>
      </c>
      <c r="AN21">
        <v>12</v>
      </c>
      <c r="AO21">
        <v>-4</v>
      </c>
      <c r="AP21">
        <f>4-(AM21+AN21+AO21)</f>
        <v>1</v>
      </c>
      <c r="AQ21">
        <v>-1</v>
      </c>
      <c r="AR21">
        <v>-12</v>
      </c>
      <c r="AS21">
        <v>-3</v>
      </c>
      <c r="AT21">
        <f>-3-SUM(AQ21:AS21)</f>
        <v>13</v>
      </c>
      <c r="AU21">
        <v>1</v>
      </c>
      <c r="AV21">
        <v>-9</v>
      </c>
      <c r="AW21">
        <v>-4</v>
      </c>
      <c r="AX21">
        <f>-12-(AU21+AV21+AW21)</f>
        <v>0</v>
      </c>
      <c r="AY21">
        <v>-85</v>
      </c>
      <c r="AZ21">
        <v>7</v>
      </c>
    </row>
    <row r="22" spans="2:52" x14ac:dyDescent="0.2">
      <c r="B22" s="17" t="s">
        <v>68</v>
      </c>
      <c r="C22" s="17">
        <f>C19+C20+C21</f>
        <v>130</v>
      </c>
      <c r="D22" s="17">
        <f t="shared" ref="D22:I22" si="56">D19+D20+D21</f>
        <v>7</v>
      </c>
      <c r="E22" s="17">
        <f t="shared" si="56"/>
        <v>-274</v>
      </c>
      <c r="F22" s="17">
        <f t="shared" si="56"/>
        <v>98</v>
      </c>
      <c r="G22" s="17">
        <f t="shared" si="56"/>
        <v>82</v>
      </c>
      <c r="H22" s="17">
        <f t="shared" si="56"/>
        <v>-7</v>
      </c>
      <c r="I22" s="17">
        <f t="shared" si="56"/>
        <v>-41</v>
      </c>
      <c r="J22" s="17">
        <f>J19+J20+J21</f>
        <v>240</v>
      </c>
      <c r="K22" s="17">
        <f t="shared" ref="K22:AG22" si="57">K19+K20+K21</f>
        <v>108</v>
      </c>
      <c r="L22" s="17">
        <f t="shared" si="57"/>
        <v>-126</v>
      </c>
      <c r="M22" s="17">
        <f t="shared" si="57"/>
        <v>-437</v>
      </c>
      <c r="N22" s="17">
        <f t="shared" si="57"/>
        <v>214</v>
      </c>
      <c r="O22" s="17">
        <f t="shared" si="57"/>
        <v>-57</v>
      </c>
      <c r="P22" s="17">
        <f t="shared" si="57"/>
        <v>92</v>
      </c>
      <c r="Q22" s="17">
        <f t="shared" si="57"/>
        <v>79</v>
      </c>
      <c r="R22" s="17">
        <f t="shared" si="57"/>
        <v>482</v>
      </c>
      <c r="S22" s="17">
        <f t="shared" si="57"/>
        <v>513</v>
      </c>
      <c r="T22" s="17">
        <f t="shared" si="57"/>
        <v>857</v>
      </c>
      <c r="U22" s="17">
        <f t="shared" si="57"/>
        <v>252</v>
      </c>
      <c r="V22" s="17">
        <f t="shared" si="57"/>
        <v>749</v>
      </c>
      <c r="W22" s="17">
        <f t="shared" si="57"/>
        <v>724</v>
      </c>
      <c r="X22" s="17">
        <f t="shared" si="57"/>
        <v>197</v>
      </c>
      <c r="Y22" s="17">
        <f t="shared" si="57"/>
        <v>256</v>
      </c>
      <c r="Z22" s="17">
        <f t="shared" si="57"/>
        <v>1856</v>
      </c>
      <c r="AA22" s="17">
        <f t="shared" si="57"/>
        <v>1629</v>
      </c>
      <c r="AB22" s="17">
        <f t="shared" si="57"/>
        <v>2534</v>
      </c>
      <c r="AC22" s="17">
        <f t="shared" si="57"/>
        <v>2883</v>
      </c>
      <c r="AD22" s="17">
        <f t="shared" si="57"/>
        <v>3027</v>
      </c>
      <c r="AE22" s="17">
        <f t="shared" si="57"/>
        <v>3561</v>
      </c>
      <c r="AF22" s="17">
        <f t="shared" si="57"/>
        <v>2625</v>
      </c>
      <c r="AG22" s="17">
        <f t="shared" si="57"/>
        <v>2134</v>
      </c>
      <c r="AH22" s="17">
        <f t="shared" ref="AH22:AL22" si="58">AH19+AH20+AH21</f>
        <v>3268</v>
      </c>
      <c r="AI22" s="17">
        <f t="shared" si="58"/>
        <v>2535</v>
      </c>
      <c r="AJ22" s="17">
        <f t="shared" si="58"/>
        <v>5243</v>
      </c>
      <c r="AK22" s="17">
        <f t="shared" si="58"/>
        <v>6331</v>
      </c>
      <c r="AL22" s="17">
        <f t="shared" si="58"/>
        <v>7222</v>
      </c>
      <c r="AM22" s="17">
        <f>AM19+AM20+AM21</f>
        <v>8107</v>
      </c>
      <c r="AN22" s="17">
        <f t="shared" ref="AN22:AV22" si="59">AN19+AN20+AN21</f>
        <v>7778</v>
      </c>
      <c r="AO22" s="17">
        <f t="shared" si="59"/>
        <v>3156</v>
      </c>
      <c r="AP22" s="17">
        <f t="shared" si="59"/>
        <v>14323</v>
      </c>
      <c r="AQ22" s="17">
        <f t="shared" si="59"/>
        <v>-3844</v>
      </c>
      <c r="AR22" s="17">
        <f t="shared" si="59"/>
        <v>-2028</v>
      </c>
      <c r="AS22" s="17">
        <f t="shared" si="59"/>
        <v>2872</v>
      </c>
      <c r="AT22" s="17">
        <f t="shared" si="59"/>
        <v>278</v>
      </c>
      <c r="AU22" s="17">
        <f t="shared" si="59"/>
        <v>3172</v>
      </c>
      <c r="AV22" s="17">
        <f t="shared" si="59"/>
        <v>6750</v>
      </c>
      <c r="AW22" s="17">
        <f t="shared" ref="AW22:AZ22" si="60">AW19+AW20+AW21</f>
        <v>9879</v>
      </c>
      <c r="AX22" s="17">
        <f t="shared" si="60"/>
        <v>10624</v>
      </c>
      <c r="AY22" s="17">
        <f t="shared" si="60"/>
        <v>10431</v>
      </c>
      <c r="AZ22" s="17">
        <f t="shared" si="60"/>
        <v>13485</v>
      </c>
    </row>
    <row r="23" spans="2:52" x14ac:dyDescent="0.2">
      <c r="F23" s="17">
        <f>SUM(C22:F22)</f>
        <v>-39</v>
      </c>
      <c r="J23" s="17">
        <f>SUM(G22:J22)</f>
        <v>274</v>
      </c>
      <c r="N23" s="17">
        <f>SUMPRODUCT(K22:N22)</f>
        <v>-241</v>
      </c>
      <c r="R23" s="17">
        <f>SUM(O22:R22)</f>
        <v>596</v>
      </c>
      <c r="V23" s="17">
        <f>SUM(S22:V22)</f>
        <v>2371</v>
      </c>
      <c r="Z23" s="17">
        <f>SUM(W22:Z22)</f>
        <v>3033</v>
      </c>
      <c r="AD23" s="17">
        <f>SUM(AA22:AD22)</f>
        <v>10073</v>
      </c>
      <c r="AH23" s="17">
        <f>SUM(AE22:AH22)</f>
        <v>11588</v>
      </c>
      <c r="AL23" s="17">
        <f>SUMPRODUCT(AI22:AL22)</f>
        <v>21331</v>
      </c>
      <c r="AP23" s="17">
        <f>SUMPRODUCT(AM22:AP22)</f>
        <v>33364</v>
      </c>
      <c r="AT23" s="17">
        <f>SUMPRODUCT(AQ22:AT22)</f>
        <v>-2722</v>
      </c>
      <c r="AX23" s="17">
        <f>SUMPRODUCT(AU22:AX22)</f>
        <v>30425</v>
      </c>
    </row>
    <row r="24" spans="2:52" x14ac:dyDescent="0.2">
      <c r="B24" t="s">
        <v>147</v>
      </c>
      <c r="F24">
        <v>-39</v>
      </c>
      <c r="J24">
        <v>274</v>
      </c>
      <c r="N24">
        <v>-241</v>
      </c>
      <c r="R24">
        <v>596</v>
      </c>
      <c r="V24">
        <v>2371</v>
      </c>
      <c r="Z24">
        <v>3033</v>
      </c>
      <c r="AD24">
        <v>10073</v>
      </c>
      <c r="AH24">
        <v>11588</v>
      </c>
      <c r="AL24">
        <v>21331</v>
      </c>
      <c r="AP24">
        <v>33364</v>
      </c>
      <c r="AT24">
        <v>-2722</v>
      </c>
      <c r="AX24">
        <v>30425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1633-300B-FB41-B094-C268BCF8648C}">
  <sheetPr>
    <tabColor theme="9" tint="0.39997558519241921"/>
  </sheetPr>
  <dimension ref="A1:AZ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2" sqref="D32"/>
    </sheetView>
  </sheetViews>
  <sheetFormatPr baseColWidth="10" defaultColWidth="8.83203125" defaultRowHeight="15" x14ac:dyDescent="0.2"/>
  <cols>
    <col min="1" max="1" width="8.6640625" customWidth="1"/>
    <col min="2" max="2" width="23.5" customWidth="1"/>
    <col min="3" max="46" width="9.1640625" customWidth="1"/>
  </cols>
  <sheetData>
    <row r="1" spans="1:52" ht="19" x14ac:dyDescent="0.25">
      <c r="B1" s="18" t="s">
        <v>148</v>
      </c>
    </row>
    <row r="2" spans="1:52" ht="19" x14ac:dyDescent="0.25">
      <c r="B2" s="16" t="s">
        <v>145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52" x14ac:dyDescent="0.2">
      <c r="C3" s="17" t="s">
        <v>0</v>
      </c>
      <c r="D3" s="17" t="s">
        <v>1</v>
      </c>
      <c r="E3" s="17" t="s">
        <v>2</v>
      </c>
      <c r="F3" s="17" t="s">
        <v>3</v>
      </c>
      <c r="G3" s="17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16</v>
      </c>
      <c r="T3" s="17" t="s">
        <v>17</v>
      </c>
      <c r="U3" s="17" t="s">
        <v>18</v>
      </c>
      <c r="V3" s="17" t="s">
        <v>19</v>
      </c>
      <c r="W3" s="17" t="s">
        <v>20</v>
      </c>
      <c r="X3" s="17" t="s">
        <v>21</v>
      </c>
      <c r="Y3" s="17" t="s">
        <v>22</v>
      </c>
      <c r="Z3" s="17" t="s">
        <v>23</v>
      </c>
      <c r="AA3" s="17" t="s">
        <v>24</v>
      </c>
      <c r="AB3" s="17" t="s">
        <v>25</v>
      </c>
      <c r="AC3" s="17" t="s">
        <v>26</v>
      </c>
      <c r="AD3" s="17" t="s">
        <v>27</v>
      </c>
      <c r="AE3" s="17" t="s">
        <v>28</v>
      </c>
      <c r="AF3" s="17" t="s">
        <v>29</v>
      </c>
      <c r="AG3" s="17" t="s">
        <v>30</v>
      </c>
      <c r="AH3" s="17" t="s">
        <v>31</v>
      </c>
      <c r="AI3" s="17" t="s">
        <v>32</v>
      </c>
      <c r="AJ3" s="17" t="s">
        <v>33</v>
      </c>
      <c r="AK3" s="17" t="s">
        <v>34</v>
      </c>
      <c r="AL3" s="17" t="s">
        <v>35</v>
      </c>
      <c r="AM3" s="17" t="s">
        <v>36</v>
      </c>
      <c r="AN3" s="17" t="s">
        <v>37</v>
      </c>
      <c r="AO3" s="17" t="s">
        <v>38</v>
      </c>
      <c r="AP3" s="17" t="s">
        <v>39</v>
      </c>
      <c r="AQ3" s="17" t="s">
        <v>40</v>
      </c>
      <c r="AR3" s="17" t="s">
        <v>41</v>
      </c>
      <c r="AS3" s="17" t="s">
        <v>42</v>
      </c>
      <c r="AT3" s="17" t="s">
        <v>43</v>
      </c>
      <c r="AU3" s="17" t="s">
        <v>44</v>
      </c>
      <c r="AV3" s="17" t="s">
        <v>45</v>
      </c>
      <c r="AW3" s="17" t="s">
        <v>46</v>
      </c>
      <c r="AX3" s="17" t="s">
        <v>47</v>
      </c>
      <c r="AY3" s="17" t="s">
        <v>48</v>
      </c>
      <c r="AZ3" s="17" t="s">
        <v>49</v>
      </c>
    </row>
    <row r="4" spans="1:52" x14ac:dyDescent="0.2">
      <c r="B4" t="s">
        <v>50</v>
      </c>
      <c r="C4">
        <v>11249</v>
      </c>
      <c r="D4">
        <v>10791</v>
      </c>
      <c r="E4">
        <v>11546</v>
      </c>
      <c r="F4">
        <f>51733-SUM(C4:E4)</f>
        <v>18147</v>
      </c>
      <c r="G4">
        <v>13271</v>
      </c>
      <c r="H4">
        <v>12752</v>
      </c>
      <c r="I4">
        <v>13808</v>
      </c>
      <c r="J4">
        <f>60903-SUM(G4:I4)</f>
        <v>21072</v>
      </c>
      <c r="K4">
        <v>15705</v>
      </c>
      <c r="L4">
        <v>15251</v>
      </c>
      <c r="M4">
        <v>16022</v>
      </c>
      <c r="N4">
        <f>70080-SUM(K4:M4)</f>
        <v>23102</v>
      </c>
      <c r="O4">
        <v>17084</v>
      </c>
      <c r="P4">
        <v>17104</v>
      </c>
      <c r="Q4">
        <v>18463</v>
      </c>
      <c r="R4">
        <f>79268-SUM(O4:Q4)</f>
        <v>26617</v>
      </c>
      <c r="S4">
        <v>20581</v>
      </c>
      <c r="T4">
        <v>21116</v>
      </c>
      <c r="U4">
        <v>22339</v>
      </c>
      <c r="V4">
        <v>30629</v>
      </c>
      <c r="W4">
        <v>23734</v>
      </c>
      <c r="X4">
        <v>24745</v>
      </c>
      <c r="Y4">
        <v>28768</v>
      </c>
      <c r="Z4">
        <f>118573-SUM(W4:Y4)</f>
        <v>41326</v>
      </c>
      <c r="AA4">
        <v>31605</v>
      </c>
      <c r="AB4">
        <v>31864</v>
      </c>
      <c r="AC4">
        <v>33746</v>
      </c>
      <c r="AD4">
        <f>141915-SUM(AA4:AC4)</f>
        <v>44700</v>
      </c>
      <c r="AE4">
        <v>34283</v>
      </c>
      <c r="AF4">
        <v>35856</v>
      </c>
      <c r="AG4">
        <v>39726</v>
      </c>
      <c r="AH4">
        <f>160408-SUM(AE4:AG4)</f>
        <v>50543</v>
      </c>
      <c r="AI4">
        <v>41841</v>
      </c>
      <c r="AJ4">
        <v>50244</v>
      </c>
      <c r="AK4">
        <v>52774</v>
      </c>
      <c r="AL4">
        <f>215915-SUM(AI4:AK4)</f>
        <v>71056</v>
      </c>
      <c r="AM4">
        <v>57491</v>
      </c>
      <c r="AN4">
        <v>58004</v>
      </c>
      <c r="AO4">
        <v>54876</v>
      </c>
      <c r="AP4">
        <f>241787-(AM4+AN4+AO4)</f>
        <v>71416</v>
      </c>
      <c r="AQ4">
        <v>56455</v>
      </c>
      <c r="AR4">
        <v>56575</v>
      </c>
      <c r="AS4">
        <v>59340</v>
      </c>
      <c r="AT4">
        <f>242901-SUM(AQ4:AS4)</f>
        <v>70531</v>
      </c>
      <c r="AU4">
        <v>56981</v>
      </c>
      <c r="AV4">
        <v>59032</v>
      </c>
      <c r="AW4">
        <v>63171</v>
      </c>
      <c r="AX4">
        <f>255887-(AU4+AV4+AW4)</f>
        <v>76703</v>
      </c>
      <c r="AY4">
        <v>60915</v>
      </c>
      <c r="AZ4">
        <v>61569</v>
      </c>
    </row>
    <row r="5" spans="1:52" x14ac:dyDescent="0.2">
      <c r="B5" t="s">
        <v>51</v>
      </c>
      <c r="C5">
        <v>1936</v>
      </c>
      <c r="D5">
        <v>2043</v>
      </c>
      <c r="E5">
        <v>2260</v>
      </c>
      <c r="F5">
        <f>9360-SUM(C5:E5)</f>
        <v>3121</v>
      </c>
      <c r="G5">
        <v>2799</v>
      </c>
      <c r="H5">
        <v>2952</v>
      </c>
      <c r="I5">
        <v>3284</v>
      </c>
      <c r="J5">
        <f>13549-SUM(G5:I5)</f>
        <v>4514</v>
      </c>
      <c r="K5">
        <v>4036</v>
      </c>
      <c r="L5">
        <v>4089</v>
      </c>
      <c r="M5">
        <v>4557</v>
      </c>
      <c r="N5">
        <f>18908-SUM(K5:M5)</f>
        <v>6226</v>
      </c>
      <c r="O5">
        <v>5633</v>
      </c>
      <c r="P5">
        <v>6081</v>
      </c>
      <c r="Q5">
        <v>6895</v>
      </c>
      <c r="R5">
        <f>27738-SUM(O5:Q5)</f>
        <v>9129</v>
      </c>
      <c r="S5">
        <v>8547</v>
      </c>
      <c r="T5">
        <v>9288</v>
      </c>
      <c r="U5">
        <v>10375</v>
      </c>
      <c r="V5">
        <v>13112</v>
      </c>
      <c r="W5">
        <v>11980</v>
      </c>
      <c r="X5">
        <v>13210</v>
      </c>
      <c r="Y5">
        <v>14976</v>
      </c>
      <c r="Z5">
        <f>59293-SUM(W5:Y5)</f>
        <v>19127</v>
      </c>
      <c r="AA5">
        <v>19437</v>
      </c>
      <c r="AB5">
        <v>21022</v>
      </c>
      <c r="AC5">
        <v>22830</v>
      </c>
      <c r="AD5">
        <f>90972-SUM(AA5:AC5)</f>
        <v>27683</v>
      </c>
      <c r="AE5">
        <v>25417</v>
      </c>
      <c r="AF5">
        <v>27548</v>
      </c>
      <c r="AG5">
        <v>30255</v>
      </c>
      <c r="AH5">
        <f>120114-SUM(AE5:AG5)</f>
        <v>36894</v>
      </c>
      <c r="AI5">
        <v>33611</v>
      </c>
      <c r="AJ5">
        <v>38668</v>
      </c>
      <c r="AK5">
        <v>43371</v>
      </c>
      <c r="AL5">
        <f>170149-SUM(AI5:AK5)</f>
        <v>54499</v>
      </c>
      <c r="AM5">
        <v>51027</v>
      </c>
      <c r="AN5">
        <v>55076</v>
      </c>
      <c r="AO5">
        <v>55936</v>
      </c>
      <c r="AP5">
        <f>228035-(AM5+AN5+AO5)</f>
        <v>65996</v>
      </c>
      <c r="AQ5">
        <v>59989</v>
      </c>
      <c r="AR5">
        <v>64659</v>
      </c>
      <c r="AS5">
        <v>67761</v>
      </c>
      <c r="AT5">
        <f>271082-SUM(AQ5:AS5)</f>
        <v>78673</v>
      </c>
      <c r="AU5">
        <v>70377</v>
      </c>
      <c r="AV5">
        <v>75351</v>
      </c>
      <c r="AW5">
        <v>79912</v>
      </c>
      <c r="AX5">
        <f>318898-(AU5+AV5+AW5)</f>
        <v>93258</v>
      </c>
      <c r="AY5">
        <v>82398</v>
      </c>
      <c r="AZ5">
        <v>86408</v>
      </c>
    </row>
    <row r="6" spans="1:52" x14ac:dyDescent="0.2">
      <c r="A6" s="17" t="s">
        <v>77</v>
      </c>
      <c r="B6" s="17" t="s">
        <v>52</v>
      </c>
      <c r="C6" s="17">
        <f>C4+C5</f>
        <v>13185</v>
      </c>
      <c r="D6" s="17">
        <f t="shared" ref="D6:I6" si="0">D4+D5</f>
        <v>12834</v>
      </c>
      <c r="E6" s="17">
        <f t="shared" si="0"/>
        <v>13806</v>
      </c>
      <c r="F6" s="17">
        <f t="shared" si="0"/>
        <v>21268</v>
      </c>
      <c r="G6" s="17">
        <f t="shared" si="0"/>
        <v>16070</v>
      </c>
      <c r="H6" s="17">
        <f t="shared" si="0"/>
        <v>15704</v>
      </c>
      <c r="I6" s="17">
        <f t="shared" si="0"/>
        <v>17092</v>
      </c>
      <c r="J6" s="17">
        <f>J4+J5</f>
        <v>25586</v>
      </c>
      <c r="K6" s="17">
        <f t="shared" ref="K6:AL6" si="1">K4+K5</f>
        <v>19741</v>
      </c>
      <c r="L6" s="17">
        <f t="shared" si="1"/>
        <v>19340</v>
      </c>
      <c r="M6" s="17">
        <f t="shared" si="1"/>
        <v>20579</v>
      </c>
      <c r="N6" s="17">
        <f t="shared" si="1"/>
        <v>29328</v>
      </c>
      <c r="O6" s="17">
        <f t="shared" si="1"/>
        <v>22717</v>
      </c>
      <c r="P6" s="17">
        <f t="shared" si="1"/>
        <v>23185</v>
      </c>
      <c r="Q6" s="17">
        <f t="shared" si="1"/>
        <v>25358</v>
      </c>
      <c r="R6" s="17">
        <f t="shared" si="1"/>
        <v>35746</v>
      </c>
      <c r="S6" s="17">
        <f t="shared" si="1"/>
        <v>29128</v>
      </c>
      <c r="T6" s="17">
        <f t="shared" si="1"/>
        <v>30404</v>
      </c>
      <c r="U6" s="17">
        <f t="shared" si="1"/>
        <v>32714</v>
      </c>
      <c r="V6" s="17">
        <f t="shared" si="1"/>
        <v>43741</v>
      </c>
      <c r="W6" s="17">
        <f t="shared" si="1"/>
        <v>35714</v>
      </c>
      <c r="X6" s="17">
        <f t="shared" si="1"/>
        <v>37955</v>
      </c>
      <c r="Y6" s="17">
        <f t="shared" si="1"/>
        <v>43744</v>
      </c>
      <c r="Z6" s="17">
        <f t="shared" si="1"/>
        <v>60453</v>
      </c>
      <c r="AA6" s="17">
        <f t="shared" si="1"/>
        <v>51042</v>
      </c>
      <c r="AB6" s="17">
        <f t="shared" si="1"/>
        <v>52886</v>
      </c>
      <c r="AC6" s="17">
        <f t="shared" si="1"/>
        <v>56576</v>
      </c>
      <c r="AD6" s="17">
        <f t="shared" si="1"/>
        <v>72383</v>
      </c>
      <c r="AE6" s="17">
        <f t="shared" si="1"/>
        <v>59700</v>
      </c>
      <c r="AF6" s="17">
        <f t="shared" si="1"/>
        <v>63404</v>
      </c>
      <c r="AG6" s="17">
        <f t="shared" si="1"/>
        <v>69981</v>
      </c>
      <c r="AH6" s="17">
        <f t="shared" si="1"/>
        <v>87437</v>
      </c>
      <c r="AI6" s="17">
        <f t="shared" si="1"/>
        <v>75452</v>
      </c>
      <c r="AJ6" s="17">
        <f t="shared" si="1"/>
        <v>88912</v>
      </c>
      <c r="AK6" s="17">
        <f t="shared" si="1"/>
        <v>96145</v>
      </c>
      <c r="AL6" s="17">
        <f t="shared" si="1"/>
        <v>125555</v>
      </c>
      <c r="AM6" s="17">
        <f>AM4+AM5</f>
        <v>108518</v>
      </c>
      <c r="AN6" s="17">
        <f t="shared" ref="AN6:AZ6" si="2">AN4+AN5</f>
        <v>113080</v>
      </c>
      <c r="AO6" s="17">
        <f t="shared" si="2"/>
        <v>110812</v>
      </c>
      <c r="AP6" s="17">
        <f t="shared" si="2"/>
        <v>137412</v>
      </c>
      <c r="AQ6" s="17">
        <f t="shared" si="2"/>
        <v>116444</v>
      </c>
      <c r="AR6" s="17">
        <f t="shared" si="2"/>
        <v>121234</v>
      </c>
      <c r="AS6" s="17">
        <f t="shared" si="2"/>
        <v>127101</v>
      </c>
      <c r="AT6" s="17">
        <f t="shared" si="2"/>
        <v>149204</v>
      </c>
      <c r="AU6" s="17">
        <f t="shared" si="2"/>
        <v>127358</v>
      </c>
      <c r="AV6" s="17">
        <f t="shared" si="2"/>
        <v>134383</v>
      </c>
      <c r="AW6" s="17">
        <f t="shared" si="2"/>
        <v>143083</v>
      </c>
      <c r="AX6" s="17">
        <f t="shared" si="2"/>
        <v>169961</v>
      </c>
      <c r="AY6" s="17">
        <f t="shared" si="2"/>
        <v>143313</v>
      </c>
      <c r="AZ6" s="17">
        <f t="shared" si="2"/>
        <v>147977</v>
      </c>
    </row>
    <row r="7" spans="1:52" x14ac:dyDescent="0.2">
      <c r="C7" t="str">
        <f>IF(C6=C15,"Verified", "Review")</f>
        <v>Verified</v>
      </c>
      <c r="D7" t="str">
        <f>IF(D6=D15,"Verified", "Review")</f>
        <v>Verified</v>
      </c>
      <c r="E7" t="str">
        <f t="shared" ref="E7:AZ7" si="3">IF(E6=E15,"Verified", "Review")</f>
        <v>Verified</v>
      </c>
      <c r="F7" t="str">
        <f t="shared" si="3"/>
        <v>Verified</v>
      </c>
      <c r="G7" t="str">
        <f t="shared" si="3"/>
        <v>Verified</v>
      </c>
      <c r="H7" t="str">
        <f t="shared" si="3"/>
        <v>Verified</v>
      </c>
      <c r="I7" t="str">
        <f t="shared" si="3"/>
        <v>Verified</v>
      </c>
      <c r="J7" t="str">
        <f t="shared" si="3"/>
        <v>Verified</v>
      </c>
      <c r="K7" t="str">
        <f t="shared" si="3"/>
        <v>Verified</v>
      </c>
      <c r="L7" t="str">
        <f t="shared" si="3"/>
        <v>Verified</v>
      </c>
      <c r="M7" t="str">
        <f t="shared" si="3"/>
        <v>Verified</v>
      </c>
      <c r="N7" t="str">
        <f t="shared" si="3"/>
        <v>Verified</v>
      </c>
      <c r="O7" t="str">
        <f t="shared" si="3"/>
        <v>Verified</v>
      </c>
      <c r="P7" t="str">
        <f t="shared" si="3"/>
        <v>Verified</v>
      </c>
      <c r="Q7" t="str">
        <f t="shared" si="3"/>
        <v>Verified</v>
      </c>
      <c r="R7" t="str">
        <f t="shared" si="3"/>
        <v>Verified</v>
      </c>
      <c r="S7" t="str">
        <f t="shared" si="3"/>
        <v>Verified</v>
      </c>
      <c r="T7" t="str">
        <f t="shared" si="3"/>
        <v>Verified</v>
      </c>
      <c r="U7" t="str">
        <f t="shared" si="3"/>
        <v>Verified</v>
      </c>
      <c r="V7" t="str">
        <f t="shared" si="3"/>
        <v>Verified</v>
      </c>
      <c r="W7" t="str">
        <f t="shared" si="3"/>
        <v>Verified</v>
      </c>
      <c r="X7" t="str">
        <f t="shared" si="3"/>
        <v>Verified</v>
      </c>
      <c r="Y7" t="str">
        <f t="shared" si="3"/>
        <v>Verified</v>
      </c>
      <c r="Z7" t="str">
        <f t="shared" si="3"/>
        <v>Verified</v>
      </c>
      <c r="AA7" t="str">
        <f t="shared" si="3"/>
        <v>Verified</v>
      </c>
      <c r="AB7" t="str">
        <f t="shared" si="3"/>
        <v>Verified</v>
      </c>
      <c r="AC7" t="str">
        <f t="shared" si="3"/>
        <v>Verified</v>
      </c>
      <c r="AD7" t="str">
        <f t="shared" si="3"/>
        <v>Verified</v>
      </c>
      <c r="AE7" t="str">
        <f t="shared" si="3"/>
        <v>Verified</v>
      </c>
      <c r="AF7" t="str">
        <f t="shared" si="3"/>
        <v>Verified</v>
      </c>
      <c r="AG7" t="str">
        <f t="shared" si="3"/>
        <v>Verified</v>
      </c>
      <c r="AH7" t="str">
        <f t="shared" si="3"/>
        <v>Verified</v>
      </c>
      <c r="AI7" t="str">
        <f t="shared" si="3"/>
        <v>Verified</v>
      </c>
      <c r="AJ7" t="str">
        <f t="shared" si="3"/>
        <v>Verified</v>
      </c>
      <c r="AK7" t="str">
        <f t="shared" si="3"/>
        <v>Verified</v>
      </c>
      <c r="AL7" t="str">
        <f t="shared" si="3"/>
        <v>Verified</v>
      </c>
      <c r="AM7" t="str">
        <f t="shared" si="3"/>
        <v>Verified</v>
      </c>
      <c r="AN7" t="str">
        <f t="shared" si="3"/>
        <v>Verified</v>
      </c>
      <c r="AO7" t="str">
        <f t="shared" si="3"/>
        <v>Verified</v>
      </c>
      <c r="AP7" t="str">
        <f t="shared" si="3"/>
        <v>Verified</v>
      </c>
      <c r="AQ7" t="str">
        <f t="shared" si="3"/>
        <v>Verified</v>
      </c>
      <c r="AR7" t="str">
        <f t="shared" si="3"/>
        <v>Verified</v>
      </c>
      <c r="AS7" t="str">
        <f t="shared" si="3"/>
        <v>Verified</v>
      </c>
      <c r="AT7" t="str">
        <f t="shared" si="3"/>
        <v>Verified</v>
      </c>
      <c r="AU7" t="str">
        <f t="shared" si="3"/>
        <v>Verified</v>
      </c>
      <c r="AV7" t="str">
        <f t="shared" si="3"/>
        <v>Verified</v>
      </c>
      <c r="AW7" t="str">
        <f t="shared" si="3"/>
        <v>Verified</v>
      </c>
      <c r="AX7" t="str">
        <f t="shared" si="3"/>
        <v>Verified</v>
      </c>
      <c r="AY7" t="str">
        <f t="shared" si="3"/>
        <v>Verified</v>
      </c>
      <c r="AZ7" t="str">
        <f t="shared" si="3"/>
        <v>Verified</v>
      </c>
    </row>
    <row r="8" spans="1:52" x14ac:dyDescent="0.2">
      <c r="B8" t="s">
        <v>69</v>
      </c>
      <c r="C8">
        <v>7975</v>
      </c>
      <c r="D8">
        <v>8161</v>
      </c>
      <c r="E8">
        <v>8558</v>
      </c>
      <c r="F8">
        <f>38628-SUM(C8:E8)</f>
        <v>13934</v>
      </c>
      <c r="G8">
        <v>10214</v>
      </c>
      <c r="H8">
        <v>10415</v>
      </c>
      <c r="I8">
        <v>11048</v>
      </c>
      <c r="J8">
        <f>48802-SUM(G8:I8)</f>
        <v>17125</v>
      </c>
      <c r="K8">
        <v>13017</v>
      </c>
      <c r="L8">
        <v>13278</v>
      </c>
      <c r="M8">
        <v>13953</v>
      </c>
      <c r="N8">
        <f>60886-SUM(K8:M8)</f>
        <v>20638</v>
      </c>
      <c r="O8">
        <v>15628</v>
      </c>
      <c r="P8">
        <v>16412</v>
      </c>
      <c r="Q8">
        <v>17741</v>
      </c>
      <c r="R8">
        <f>75597-SUM(O8:Q8)</f>
        <v>25816</v>
      </c>
      <c r="S8">
        <v>19916</v>
      </c>
      <c r="T8">
        <v>20378</v>
      </c>
      <c r="U8">
        <v>21590</v>
      </c>
      <c r="V8">
        <f>91431-SUM(S8:U8)</f>
        <v>29547</v>
      </c>
      <c r="W8">
        <v>22826</v>
      </c>
      <c r="X8">
        <v>23754</v>
      </c>
      <c r="Y8">
        <v>26392</v>
      </c>
      <c r="Z8">
        <f>108354-SUM(W8:Y8)</f>
        <v>35382</v>
      </c>
      <c r="AA8">
        <v>26939</v>
      </c>
      <c r="AB8">
        <v>27165</v>
      </c>
      <c r="AC8">
        <v>29061</v>
      </c>
      <c r="AD8">
        <f>122987-SUM(AA8:AC8)</f>
        <v>39822</v>
      </c>
      <c r="AE8">
        <v>29498</v>
      </c>
      <c r="AF8">
        <v>31053</v>
      </c>
      <c r="AG8">
        <v>35039</v>
      </c>
      <c r="AH8">
        <f>141247-SUM(AE8:AG8)</f>
        <v>45657</v>
      </c>
      <c r="AI8">
        <v>36652</v>
      </c>
      <c r="AJ8">
        <v>45896</v>
      </c>
      <c r="AK8">
        <v>48350</v>
      </c>
      <c r="AL8">
        <f>197346-SUM(AI8:AK8)</f>
        <v>66448</v>
      </c>
      <c r="AM8">
        <v>52901</v>
      </c>
      <c r="AN8">
        <v>53157</v>
      </c>
      <c r="AO8">
        <v>49942</v>
      </c>
      <c r="AP8">
        <f>222075-SUM(AM8:AO8)</f>
        <v>66075</v>
      </c>
      <c r="AQ8">
        <v>51129</v>
      </c>
      <c r="AR8">
        <v>50855</v>
      </c>
      <c r="AS8">
        <v>53489</v>
      </c>
      <c r="AT8">
        <f>220004-SUM(AQ8:AS8)</f>
        <v>64531</v>
      </c>
      <c r="AU8">
        <v>51096</v>
      </c>
      <c r="AV8">
        <v>52966</v>
      </c>
      <c r="AW8">
        <v>57267</v>
      </c>
      <c r="AX8">
        <f>231872-SUM(AU8:AW8)</f>
        <v>70543</v>
      </c>
      <c r="AY8">
        <v>54670</v>
      </c>
      <c r="AZ8">
        <v>55392</v>
      </c>
    </row>
    <row r="9" spans="1:52" x14ac:dyDescent="0.2">
      <c r="B9" t="s">
        <v>70</v>
      </c>
      <c r="Y9">
        <v>1276</v>
      </c>
      <c r="Z9">
        <f>5798-SUM(W9:Y9)</f>
        <v>4522</v>
      </c>
      <c r="AA9">
        <v>4263</v>
      </c>
      <c r="AB9">
        <v>4312</v>
      </c>
      <c r="AC9">
        <v>4248</v>
      </c>
      <c r="AD9">
        <f>17224-SUM(AA9:AC9)</f>
        <v>4401</v>
      </c>
      <c r="AE9">
        <v>4307</v>
      </c>
      <c r="AF9">
        <v>4330</v>
      </c>
      <c r="AG9">
        <v>4192</v>
      </c>
      <c r="AH9">
        <f>17192-SUM(AE9:AG9)</f>
        <v>4363</v>
      </c>
      <c r="AI9">
        <v>4640</v>
      </c>
      <c r="AJ9">
        <v>3774</v>
      </c>
      <c r="AK9">
        <v>3788</v>
      </c>
      <c r="AL9">
        <f>16227-SUM(AI9:AK9)</f>
        <v>4025</v>
      </c>
      <c r="AM9">
        <v>3920</v>
      </c>
      <c r="AN9">
        <v>4198</v>
      </c>
      <c r="AO9">
        <v>4269</v>
      </c>
      <c r="AP9">
        <f>17075-SUM(AM9:AO9)</f>
        <v>4688</v>
      </c>
      <c r="AQ9">
        <v>4591</v>
      </c>
      <c r="AR9">
        <v>4721</v>
      </c>
      <c r="AS9">
        <v>4694</v>
      </c>
      <c r="AT9">
        <f>18963-SUM(AQ9:AS9)</f>
        <v>4957</v>
      </c>
      <c r="AU9">
        <v>4895</v>
      </c>
      <c r="AV9">
        <v>5024</v>
      </c>
      <c r="AW9">
        <v>4959</v>
      </c>
      <c r="AX9">
        <f>20030-SUM(AU9:AW9)</f>
        <v>5152</v>
      </c>
      <c r="AY9">
        <v>5202</v>
      </c>
      <c r="AZ9">
        <v>5206</v>
      </c>
    </row>
    <row r="10" spans="1:52" x14ac:dyDescent="0.2">
      <c r="B10" t="s">
        <v>71</v>
      </c>
      <c r="S10">
        <v>4801</v>
      </c>
      <c r="T10">
        <v>5083</v>
      </c>
      <c r="U10">
        <v>5652</v>
      </c>
      <c r="V10">
        <f>22993-SUM(S10:U10)</f>
        <v>7457</v>
      </c>
      <c r="W10">
        <v>6438</v>
      </c>
      <c r="X10">
        <v>6991</v>
      </c>
      <c r="Y10">
        <v>7928</v>
      </c>
      <c r="Z10">
        <f>31881-SUM(W10:Y10)</f>
        <v>10524</v>
      </c>
      <c r="AA10">
        <v>9265</v>
      </c>
      <c r="AB10">
        <v>9702</v>
      </c>
      <c r="AC10">
        <v>10395</v>
      </c>
      <c r="AD10">
        <f>42745-SUM(AA10:AC10)</f>
        <v>13383</v>
      </c>
      <c r="AE10">
        <v>11141</v>
      </c>
      <c r="AF10">
        <v>11962</v>
      </c>
      <c r="AG10">
        <v>13212</v>
      </c>
      <c r="AH10">
        <f>53762-SUM(AE10:AG10)</f>
        <v>17447</v>
      </c>
      <c r="AI10">
        <v>14479</v>
      </c>
      <c r="AJ10">
        <v>18195</v>
      </c>
      <c r="AK10">
        <v>20436</v>
      </c>
      <c r="AL10">
        <f>80461-SUM(AI10:AK10)</f>
        <v>27351</v>
      </c>
      <c r="AM10">
        <v>23709</v>
      </c>
      <c r="AN10">
        <v>25085</v>
      </c>
      <c r="AO10">
        <v>24252</v>
      </c>
      <c r="AP10">
        <f>103366-SUM(AM10:AO10)</f>
        <v>30320</v>
      </c>
      <c r="AQ10">
        <v>25335</v>
      </c>
      <c r="AR10">
        <v>27376</v>
      </c>
      <c r="AS10">
        <v>28666</v>
      </c>
      <c r="AT10">
        <f>117716-SUM(AQ10:AS10)</f>
        <v>36339</v>
      </c>
      <c r="AU10">
        <v>29820</v>
      </c>
      <c r="AV10">
        <v>32332</v>
      </c>
      <c r="AW10">
        <v>34342</v>
      </c>
      <c r="AX10">
        <f>140053-SUM(AU10:AW10)</f>
        <v>43559</v>
      </c>
      <c r="AY10">
        <v>34596</v>
      </c>
      <c r="AZ10">
        <v>36201</v>
      </c>
    </row>
    <row r="11" spans="1:52" x14ac:dyDescent="0.2">
      <c r="B11" t="s">
        <v>72</v>
      </c>
      <c r="C11">
        <v>4710</v>
      </c>
      <c r="D11">
        <v>4119</v>
      </c>
      <c r="E11">
        <v>4600</v>
      </c>
      <c r="F11">
        <f>19942-SUM(C11:E11)</f>
        <v>6513</v>
      </c>
      <c r="G11">
        <v>5058</v>
      </c>
      <c r="H11">
        <v>4397</v>
      </c>
      <c r="I11">
        <v>5033</v>
      </c>
      <c r="J11">
        <f>21716-SUM(G11:I11)</f>
        <v>7228</v>
      </c>
      <c r="K11">
        <v>5467</v>
      </c>
      <c r="L11">
        <v>4844</v>
      </c>
      <c r="M11">
        <v>5244</v>
      </c>
      <c r="N11">
        <f>22505-SUM(K11:M11)</f>
        <v>6950</v>
      </c>
      <c r="O11">
        <v>5289</v>
      </c>
      <c r="P11">
        <v>4714</v>
      </c>
      <c r="Q11">
        <v>5283</v>
      </c>
      <c r="R11">
        <f>22509-SUM(O11:Q11)</f>
        <v>7223</v>
      </c>
      <c r="AL11">
        <f>19773-SUM(AI11:AK11)</f>
        <v>19773</v>
      </c>
      <c r="AM11">
        <v>6381</v>
      </c>
      <c r="AN11">
        <v>7451</v>
      </c>
      <c r="AO11">
        <v>7612</v>
      </c>
      <c r="AP11">
        <f>31160-SUM(AM11:AO11)</f>
        <v>9716</v>
      </c>
      <c r="AQ11">
        <v>7877</v>
      </c>
      <c r="AR11">
        <v>8757</v>
      </c>
      <c r="AS11">
        <v>9548</v>
      </c>
      <c r="AT11">
        <f>37739-SUM(AQ11:AS11)</f>
        <v>11557</v>
      </c>
      <c r="AU11">
        <v>9509</v>
      </c>
      <c r="AV11">
        <v>10683</v>
      </c>
      <c r="AW11">
        <v>12060</v>
      </c>
      <c r="AX11">
        <f>46906-SUM(AU11:AW11)</f>
        <v>14654</v>
      </c>
      <c r="AY11">
        <v>11824</v>
      </c>
      <c r="AZ11">
        <v>12771</v>
      </c>
    </row>
    <row r="12" spans="1:52" x14ac:dyDescent="0.2">
      <c r="B12" t="s">
        <v>73</v>
      </c>
      <c r="S12">
        <v>1300</v>
      </c>
      <c r="T12">
        <v>1431</v>
      </c>
      <c r="U12">
        <v>1532</v>
      </c>
      <c r="V12">
        <f>6394-SUM(S12:U12)</f>
        <v>2131</v>
      </c>
      <c r="W12">
        <v>1939</v>
      </c>
      <c r="X12">
        <v>2165</v>
      </c>
      <c r="Y12">
        <v>2441</v>
      </c>
      <c r="Z12">
        <f>9721-SUM(W12:Y12)</f>
        <v>3176</v>
      </c>
      <c r="AA12">
        <v>3102</v>
      </c>
      <c r="AB12">
        <v>3408</v>
      </c>
      <c r="AC12">
        <v>3698</v>
      </c>
      <c r="AD12">
        <f>14168-SUM(AA12:AC12)</f>
        <v>3960</v>
      </c>
      <c r="AE12">
        <v>4342</v>
      </c>
      <c r="AF12">
        <v>4676</v>
      </c>
      <c r="AG12">
        <v>4957</v>
      </c>
      <c r="AH12">
        <f>19210-SUM(AE12:AG12)</f>
        <v>5235</v>
      </c>
      <c r="AI12">
        <v>5556</v>
      </c>
      <c r="AJ12">
        <v>6018</v>
      </c>
      <c r="AK12">
        <v>6572</v>
      </c>
      <c r="AL12">
        <f>25207-SUM(AI12:AK12)</f>
        <v>7061</v>
      </c>
      <c r="AM12">
        <v>7580</v>
      </c>
      <c r="AN12">
        <v>7917</v>
      </c>
      <c r="AO12">
        <v>8148</v>
      </c>
      <c r="AP12">
        <f>31768-SUM(AM12:AO12)</f>
        <v>8123</v>
      </c>
      <c r="AQ12">
        <v>8410</v>
      </c>
      <c r="AR12">
        <v>8716</v>
      </c>
      <c r="AS12">
        <v>8903</v>
      </c>
      <c r="AT12">
        <f>35218-SUM(AQ12:AS12)</f>
        <v>9189</v>
      </c>
      <c r="AU12">
        <v>9657</v>
      </c>
      <c r="AV12">
        <v>9894</v>
      </c>
      <c r="AW12">
        <v>10170</v>
      </c>
      <c r="AX12">
        <f>40209-SUM(AU12:AW12)</f>
        <v>10488</v>
      </c>
      <c r="AY12">
        <v>10722</v>
      </c>
      <c r="AZ12">
        <v>10866</v>
      </c>
    </row>
    <row r="13" spans="1:52" x14ac:dyDescent="0.2">
      <c r="B13" t="s">
        <v>74</v>
      </c>
      <c r="K13">
        <v>1050</v>
      </c>
      <c r="L13">
        <v>1005</v>
      </c>
      <c r="M13">
        <v>1169</v>
      </c>
      <c r="N13">
        <f>4644-SUM(K13:M13)</f>
        <v>1420</v>
      </c>
      <c r="O13">
        <v>1566</v>
      </c>
      <c r="P13">
        <v>1824</v>
      </c>
      <c r="Q13">
        <v>2085</v>
      </c>
      <c r="R13">
        <f>7880-SUM(O13:Q13)</f>
        <v>2405</v>
      </c>
      <c r="S13">
        <v>2566</v>
      </c>
      <c r="T13">
        <v>2886</v>
      </c>
      <c r="U13">
        <v>3231</v>
      </c>
      <c r="V13">
        <f>12219-SUM(S13:U13)</f>
        <v>3536</v>
      </c>
      <c r="W13">
        <v>3661</v>
      </c>
      <c r="X13">
        <v>4100</v>
      </c>
      <c r="Y13">
        <v>4584</v>
      </c>
      <c r="Z13">
        <f>17459-SUM(W13:Y13)</f>
        <v>5114</v>
      </c>
      <c r="AA13">
        <v>5442</v>
      </c>
      <c r="AB13">
        <v>6105</v>
      </c>
      <c r="AC13">
        <v>6679</v>
      </c>
      <c r="AD13">
        <f>25655-SUM(AA13:AC13)</f>
        <v>7429</v>
      </c>
      <c r="AE13">
        <v>7696</v>
      </c>
      <c r="AF13">
        <v>8381</v>
      </c>
      <c r="AG13">
        <v>8995</v>
      </c>
      <c r="AH13">
        <f>35026-SUM(AE13:AG13)</f>
        <v>9954</v>
      </c>
      <c r="AI13">
        <v>10219</v>
      </c>
      <c r="AJ13">
        <v>10808</v>
      </c>
      <c r="AK13">
        <v>11601</v>
      </c>
      <c r="AL13">
        <f>45370-SUM(AI13:AK13)</f>
        <v>12742</v>
      </c>
      <c r="AM13">
        <v>13503</v>
      </c>
      <c r="AN13">
        <v>14809</v>
      </c>
      <c r="AO13">
        <v>16110</v>
      </c>
      <c r="AP13">
        <f>62202-SUM(AM13:AO13)</f>
        <v>17780</v>
      </c>
      <c r="AQ13">
        <v>18441</v>
      </c>
      <c r="AR13">
        <v>19739</v>
      </c>
      <c r="AS13">
        <v>20538</v>
      </c>
      <c r="AT13">
        <f>80096-SUM(AQ13:AS13)</f>
        <v>21378</v>
      </c>
      <c r="AU13">
        <v>21354</v>
      </c>
      <c r="AV13">
        <v>22140</v>
      </c>
      <c r="AW13">
        <v>23059</v>
      </c>
      <c r="AX13">
        <f>90757-SUM(AU13:AW13)</f>
        <v>24204</v>
      </c>
      <c r="AY13">
        <v>25037</v>
      </c>
      <c r="AZ13">
        <v>26281</v>
      </c>
    </row>
    <row r="14" spans="1:52" x14ac:dyDescent="0.2">
      <c r="B14" t="s">
        <v>75</v>
      </c>
      <c r="C14">
        <v>500</v>
      </c>
      <c r="D14">
        <v>554</v>
      </c>
      <c r="E14">
        <v>648</v>
      </c>
      <c r="F14">
        <f>2523-SUM(C14:E14)</f>
        <v>821</v>
      </c>
      <c r="G14">
        <v>798</v>
      </c>
      <c r="H14">
        <v>892</v>
      </c>
      <c r="I14">
        <v>1011</v>
      </c>
      <c r="J14">
        <f>3934-SUM(G14:I14)</f>
        <v>1233</v>
      </c>
      <c r="K14">
        <v>207</v>
      </c>
      <c r="L14">
        <v>213</v>
      </c>
      <c r="M14">
        <v>213</v>
      </c>
      <c r="N14">
        <f>953-SUM(K14:M14)</f>
        <v>320</v>
      </c>
      <c r="O14">
        <v>234</v>
      </c>
      <c r="P14">
        <v>235</v>
      </c>
      <c r="Q14">
        <v>249</v>
      </c>
      <c r="R14">
        <f>1020-SUM(O14:Q14)</f>
        <v>302</v>
      </c>
      <c r="S14">
        <v>545</v>
      </c>
      <c r="T14">
        <v>626</v>
      </c>
      <c r="U14">
        <v>709</v>
      </c>
      <c r="V14">
        <f>2950-SUM(S14:U14)</f>
        <v>1070</v>
      </c>
      <c r="W14">
        <v>850</v>
      </c>
      <c r="X14">
        <v>945</v>
      </c>
      <c r="Y14">
        <v>1123</v>
      </c>
      <c r="Z14">
        <f>4653-SUM(W14:Y14)</f>
        <v>1735</v>
      </c>
      <c r="AA14">
        <v>2031</v>
      </c>
      <c r="AB14">
        <v>2194</v>
      </c>
      <c r="AC14">
        <v>2495</v>
      </c>
      <c r="AD14">
        <f>10108-SUM(AA14:AC14)</f>
        <v>3388</v>
      </c>
      <c r="AE14">
        <v>2716</v>
      </c>
      <c r="AF14">
        <v>3002</v>
      </c>
      <c r="AG14">
        <v>3586</v>
      </c>
      <c r="AH14">
        <f>14085-SUM(AE14:AG14)</f>
        <v>4781</v>
      </c>
      <c r="AI14">
        <v>3906</v>
      </c>
      <c r="AJ14">
        <v>4221</v>
      </c>
      <c r="AK14">
        <v>5398</v>
      </c>
      <c r="AL14">
        <f>1680-SUM(AI14:AK14)</f>
        <v>-11845</v>
      </c>
      <c r="AM14">
        <v>524</v>
      </c>
      <c r="AN14">
        <v>463</v>
      </c>
      <c r="AO14">
        <v>479</v>
      </c>
      <c r="AP14">
        <f>2176-SUM(AM14:AO14)</f>
        <v>710</v>
      </c>
      <c r="AQ14">
        <v>661</v>
      </c>
      <c r="AR14">
        <v>1070</v>
      </c>
      <c r="AS14">
        <v>1263</v>
      </c>
      <c r="AT14">
        <f>4247-SUM(AQ14:AS14)</f>
        <v>1253</v>
      </c>
      <c r="AU14">
        <v>1027</v>
      </c>
      <c r="AV14">
        <v>1344</v>
      </c>
      <c r="AW14">
        <v>1226</v>
      </c>
      <c r="AX14">
        <f>4958-SUM(AU14:AW14)</f>
        <v>1361</v>
      </c>
      <c r="AY14">
        <v>1262</v>
      </c>
      <c r="AZ14">
        <v>1260</v>
      </c>
    </row>
    <row r="15" spans="1:52" x14ac:dyDescent="0.2">
      <c r="B15" t="s">
        <v>76</v>
      </c>
      <c r="C15">
        <f>SUMPRODUCT(C8:C14)</f>
        <v>13185</v>
      </c>
      <c r="D15">
        <f t="shared" ref="D15:AZ15" si="4">SUMPRODUCT(D8:D14)</f>
        <v>12834</v>
      </c>
      <c r="E15">
        <f t="shared" si="4"/>
        <v>13806</v>
      </c>
      <c r="F15">
        <f t="shared" si="4"/>
        <v>21268</v>
      </c>
      <c r="G15">
        <f t="shared" si="4"/>
        <v>16070</v>
      </c>
      <c r="H15">
        <f t="shared" si="4"/>
        <v>15704</v>
      </c>
      <c r="I15">
        <f t="shared" si="4"/>
        <v>17092</v>
      </c>
      <c r="J15">
        <f t="shared" si="4"/>
        <v>25586</v>
      </c>
      <c r="K15">
        <f t="shared" si="4"/>
        <v>19741</v>
      </c>
      <c r="L15">
        <f t="shared" si="4"/>
        <v>19340</v>
      </c>
      <c r="M15">
        <f t="shared" si="4"/>
        <v>20579</v>
      </c>
      <c r="N15">
        <f t="shared" si="4"/>
        <v>29328</v>
      </c>
      <c r="O15">
        <f t="shared" si="4"/>
        <v>22717</v>
      </c>
      <c r="P15">
        <f t="shared" si="4"/>
        <v>23185</v>
      </c>
      <c r="Q15">
        <f t="shared" si="4"/>
        <v>25358</v>
      </c>
      <c r="R15">
        <f t="shared" si="4"/>
        <v>35746</v>
      </c>
      <c r="S15">
        <f t="shared" si="4"/>
        <v>29128</v>
      </c>
      <c r="T15">
        <f t="shared" si="4"/>
        <v>30404</v>
      </c>
      <c r="U15">
        <f t="shared" si="4"/>
        <v>32714</v>
      </c>
      <c r="V15">
        <f t="shared" si="4"/>
        <v>43741</v>
      </c>
      <c r="W15">
        <f t="shared" si="4"/>
        <v>35714</v>
      </c>
      <c r="X15">
        <f t="shared" si="4"/>
        <v>37955</v>
      </c>
      <c r="Y15">
        <f t="shared" si="4"/>
        <v>43744</v>
      </c>
      <c r="Z15">
        <f t="shared" si="4"/>
        <v>60453</v>
      </c>
      <c r="AA15">
        <f t="shared" si="4"/>
        <v>51042</v>
      </c>
      <c r="AB15">
        <f t="shared" si="4"/>
        <v>52886</v>
      </c>
      <c r="AC15">
        <f t="shared" si="4"/>
        <v>56576</v>
      </c>
      <c r="AD15">
        <f t="shared" si="4"/>
        <v>72383</v>
      </c>
      <c r="AE15">
        <f t="shared" si="4"/>
        <v>59700</v>
      </c>
      <c r="AF15">
        <f t="shared" si="4"/>
        <v>63404</v>
      </c>
      <c r="AG15">
        <f t="shared" si="4"/>
        <v>69981</v>
      </c>
      <c r="AH15">
        <f t="shared" si="4"/>
        <v>87437</v>
      </c>
      <c r="AI15">
        <f t="shared" si="4"/>
        <v>75452</v>
      </c>
      <c r="AJ15">
        <f t="shared" si="4"/>
        <v>88912</v>
      </c>
      <c r="AK15">
        <f t="shared" si="4"/>
        <v>96145</v>
      </c>
      <c r="AL15">
        <f t="shared" si="4"/>
        <v>125555</v>
      </c>
      <c r="AM15">
        <f t="shared" si="4"/>
        <v>108518</v>
      </c>
      <c r="AN15">
        <f t="shared" si="4"/>
        <v>113080</v>
      </c>
      <c r="AO15">
        <f t="shared" si="4"/>
        <v>110812</v>
      </c>
      <c r="AP15">
        <f t="shared" si="4"/>
        <v>137412</v>
      </c>
      <c r="AQ15">
        <f t="shared" si="4"/>
        <v>116444</v>
      </c>
      <c r="AR15">
        <f t="shared" si="4"/>
        <v>121234</v>
      </c>
      <c r="AS15">
        <f t="shared" si="4"/>
        <v>127101</v>
      </c>
      <c r="AT15">
        <f t="shared" si="4"/>
        <v>149204</v>
      </c>
      <c r="AU15">
        <f t="shared" si="4"/>
        <v>127358</v>
      </c>
      <c r="AV15">
        <f t="shared" si="4"/>
        <v>134383</v>
      </c>
      <c r="AW15">
        <f t="shared" si="4"/>
        <v>143083</v>
      </c>
      <c r="AX15">
        <f t="shared" si="4"/>
        <v>169961</v>
      </c>
      <c r="AY15">
        <f t="shared" si="4"/>
        <v>143313</v>
      </c>
      <c r="AZ15">
        <f t="shared" si="4"/>
        <v>147977</v>
      </c>
    </row>
    <row r="17" spans="1:52" x14ac:dyDescent="0.2">
      <c r="A17" s="17" t="s">
        <v>78</v>
      </c>
      <c r="B17" s="17" t="s">
        <v>54</v>
      </c>
      <c r="C17" s="17">
        <v>1295</v>
      </c>
      <c r="D17" s="17">
        <v>1356</v>
      </c>
      <c r="E17" s="17">
        <v>1510</v>
      </c>
      <c r="F17" s="17">
        <f>6419-SUM(C17:E17)</f>
        <v>2258</v>
      </c>
      <c r="G17" s="17">
        <v>1796</v>
      </c>
      <c r="H17" s="17">
        <v>1837</v>
      </c>
      <c r="I17" s="17">
        <v>2034</v>
      </c>
      <c r="J17" s="17">
        <f>8585-SUM(G17:I17)</f>
        <v>2918</v>
      </c>
      <c r="K17" s="17">
        <v>2317</v>
      </c>
      <c r="L17" s="17">
        <v>2382</v>
      </c>
      <c r="M17" s="17">
        <v>2643</v>
      </c>
      <c r="N17" s="17">
        <f>10766-SUM(K17:M17)</f>
        <v>3424</v>
      </c>
      <c r="O17" s="17">
        <v>2759</v>
      </c>
      <c r="P17" s="17">
        <v>2876</v>
      </c>
      <c r="Q17" s="17">
        <v>3230</v>
      </c>
      <c r="R17" s="17">
        <f>13410-SUM(O17:Q17)</f>
        <v>4545</v>
      </c>
      <c r="S17" s="17">
        <v>3687</v>
      </c>
      <c r="T17" s="17">
        <v>3878</v>
      </c>
      <c r="U17" s="17">
        <v>4335</v>
      </c>
      <c r="V17" s="17">
        <f>10766-SUM(S17:U17)</f>
        <v>-1134</v>
      </c>
      <c r="W17" s="17">
        <v>4697</v>
      </c>
      <c r="X17" s="17">
        <v>5158</v>
      </c>
      <c r="Y17" s="17">
        <v>6420</v>
      </c>
      <c r="Z17" s="17">
        <f>25249-SUM(W17:Y17)</f>
        <v>8974</v>
      </c>
      <c r="AA17" s="17">
        <v>7792</v>
      </c>
      <c r="AB17" s="17">
        <v>7932</v>
      </c>
      <c r="AC17" s="17">
        <v>8275</v>
      </c>
      <c r="AD17" s="17">
        <f>34027-SUM(AA17:AC17)</f>
        <v>10028</v>
      </c>
      <c r="AE17" s="17">
        <v>8601</v>
      </c>
      <c r="AF17" s="17">
        <v>9271</v>
      </c>
      <c r="AG17" s="17">
        <v>10167</v>
      </c>
      <c r="AH17" s="17">
        <f>40232-SUM(AE17:AG17)</f>
        <v>12193</v>
      </c>
      <c r="AI17" s="17">
        <v>11531</v>
      </c>
      <c r="AJ17" s="17">
        <v>13806</v>
      </c>
      <c r="AK17" s="17">
        <v>14705</v>
      </c>
      <c r="AL17" s="17">
        <f>58517-SUM(AI17:AK17)</f>
        <v>18475</v>
      </c>
      <c r="AM17" s="17">
        <v>16530</v>
      </c>
      <c r="AN17" s="17">
        <v>17638</v>
      </c>
      <c r="AO17" s="17">
        <v>18498</v>
      </c>
      <c r="AP17" s="17">
        <f>75111-(AM17+AN17+AO17)</f>
        <v>22445</v>
      </c>
      <c r="AQ17" s="17">
        <v>20271</v>
      </c>
      <c r="AR17" s="17">
        <v>20342</v>
      </c>
      <c r="AS17" s="17">
        <v>20583</v>
      </c>
      <c r="AT17" s="17">
        <f>84299-SUM(AQ17:AS17)</f>
        <v>23103</v>
      </c>
      <c r="AU17" s="17">
        <v>20905</v>
      </c>
      <c r="AV17" s="17">
        <v>21305</v>
      </c>
      <c r="AW17" s="17">
        <v>22314</v>
      </c>
      <c r="AX17" s="17">
        <f>90619-(AU17+AV17+AW17)</f>
        <v>26095</v>
      </c>
      <c r="AY17" s="17">
        <v>22317</v>
      </c>
      <c r="AZ17" s="17">
        <v>23566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03DE-2EFE-D14A-AFFD-FC965C4997FB}">
  <dimension ref="B1:U52"/>
  <sheetViews>
    <sheetView workbookViewId="0">
      <selection activeCell="J16" sqref="J16"/>
    </sheetView>
  </sheetViews>
  <sheetFormatPr baseColWidth="10" defaultRowHeight="15" x14ac:dyDescent="0.2"/>
  <cols>
    <col min="1" max="1" width="4.6640625" customWidth="1"/>
  </cols>
  <sheetData>
    <row r="1" spans="2:21" ht="22" customHeight="1" x14ac:dyDescent="0.35">
      <c r="B1" s="18" t="s">
        <v>149</v>
      </c>
      <c r="C1" s="42"/>
      <c r="D1" s="42"/>
    </row>
    <row r="2" spans="2:21" x14ac:dyDescent="0.2">
      <c r="B2" s="17" t="s">
        <v>79</v>
      </c>
      <c r="C2" t="s">
        <v>50</v>
      </c>
      <c r="D2" t="s">
        <v>51</v>
      </c>
      <c r="E2" t="s">
        <v>52</v>
      </c>
      <c r="F2" t="s">
        <v>53</v>
      </c>
      <c r="G2" s="17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</row>
    <row r="3" spans="2:21" x14ac:dyDescent="0.2">
      <c r="B3" s="17" t="s">
        <v>0</v>
      </c>
      <c r="C3">
        <v>11249</v>
      </c>
      <c r="D3">
        <v>1936</v>
      </c>
      <c r="E3">
        <f t="shared" ref="E3:E34" si="0">C3+D3</f>
        <v>13185</v>
      </c>
      <c r="F3">
        <v>10027</v>
      </c>
      <c r="G3" s="17">
        <v>1295</v>
      </c>
      <c r="H3">
        <v>945</v>
      </c>
      <c r="I3">
        <v>480</v>
      </c>
      <c r="J3">
        <v>200</v>
      </c>
      <c r="K3">
        <v>46</v>
      </c>
      <c r="L3">
        <f t="shared" ref="L3:L34" si="1">SUMPRODUCT(F3:K3)</f>
        <v>12993</v>
      </c>
      <c r="M3">
        <f t="shared" ref="M3:M34" si="2">E3-L3</f>
        <v>192</v>
      </c>
      <c r="N3">
        <v>12</v>
      </c>
      <c r="O3">
        <v>-21</v>
      </c>
      <c r="P3">
        <v>-99</v>
      </c>
      <c r="Q3">
        <f t="shared" ref="Q3:Q34" si="3">SUMPRODUCT(N3:P3)</f>
        <v>-108</v>
      </c>
      <c r="R3">
        <f t="shared" ref="R3:R48" si="4">SUMPRODUCT(M3:P3)</f>
        <v>84</v>
      </c>
      <c r="S3">
        <v>-43</v>
      </c>
      <c r="T3">
        <v>89</v>
      </c>
      <c r="U3">
        <f t="shared" ref="U3:U34" si="5">R3+S3+T3</f>
        <v>130</v>
      </c>
    </row>
    <row r="4" spans="2:21" x14ac:dyDescent="0.2">
      <c r="B4" s="17" t="s">
        <v>1</v>
      </c>
      <c r="C4">
        <v>10791</v>
      </c>
      <c r="D4">
        <v>2043</v>
      </c>
      <c r="E4">
        <f t="shared" si="0"/>
        <v>12834</v>
      </c>
      <c r="F4">
        <v>9488</v>
      </c>
      <c r="G4" s="17">
        <v>1356</v>
      </c>
      <c r="H4">
        <v>1082</v>
      </c>
      <c r="I4">
        <v>537</v>
      </c>
      <c r="J4">
        <v>232</v>
      </c>
      <c r="K4">
        <v>32</v>
      </c>
      <c r="L4">
        <f t="shared" si="1"/>
        <v>12727</v>
      </c>
      <c r="M4">
        <f t="shared" si="2"/>
        <v>107</v>
      </c>
      <c r="N4">
        <v>10</v>
      </c>
      <c r="O4">
        <v>-21</v>
      </c>
      <c r="P4">
        <v>50</v>
      </c>
      <c r="Q4">
        <f t="shared" si="3"/>
        <v>39</v>
      </c>
      <c r="R4">
        <f t="shared" si="4"/>
        <v>146</v>
      </c>
      <c r="S4">
        <v>-109</v>
      </c>
      <c r="T4">
        <v>-30</v>
      </c>
      <c r="U4">
        <f t="shared" si="5"/>
        <v>7</v>
      </c>
    </row>
    <row r="5" spans="2:21" x14ac:dyDescent="0.2">
      <c r="B5" s="17" t="s">
        <v>2</v>
      </c>
      <c r="C5">
        <v>11546</v>
      </c>
      <c r="D5">
        <v>2260</v>
      </c>
      <c r="E5">
        <f t="shared" si="0"/>
        <v>13806</v>
      </c>
      <c r="F5">
        <v>10319</v>
      </c>
      <c r="G5" s="17">
        <v>1510</v>
      </c>
      <c r="H5">
        <v>1192</v>
      </c>
      <c r="I5">
        <v>540</v>
      </c>
      <c r="J5">
        <v>230</v>
      </c>
      <c r="K5">
        <v>43</v>
      </c>
      <c r="L5">
        <f t="shared" si="1"/>
        <v>13834</v>
      </c>
      <c r="M5">
        <f t="shared" si="2"/>
        <v>-28</v>
      </c>
      <c r="N5">
        <v>10</v>
      </c>
      <c r="O5">
        <v>-22</v>
      </c>
      <c r="P5">
        <v>18</v>
      </c>
      <c r="Q5">
        <f t="shared" si="3"/>
        <v>6</v>
      </c>
      <c r="R5">
        <f t="shared" si="4"/>
        <v>-22</v>
      </c>
      <c r="S5">
        <v>-83</v>
      </c>
      <c r="T5">
        <v>-169</v>
      </c>
      <c r="U5">
        <f t="shared" si="5"/>
        <v>-274</v>
      </c>
    </row>
    <row r="6" spans="2:21" x14ac:dyDescent="0.2">
      <c r="B6" s="17" t="s">
        <v>3</v>
      </c>
      <c r="C6">
        <f>51733-SUM(C3:C5)</f>
        <v>18147</v>
      </c>
      <c r="D6">
        <f>9360-SUM(D3:D5)</f>
        <v>3121</v>
      </c>
      <c r="E6">
        <f t="shared" si="0"/>
        <v>21268</v>
      </c>
      <c r="F6">
        <f>45971-SUM(F3:F5)</f>
        <v>16137</v>
      </c>
      <c r="G6" s="17">
        <f>6419-SUM(G3:G5)</f>
        <v>2258</v>
      </c>
      <c r="H6">
        <f>4564-SUM(H3:H5)</f>
        <v>1345</v>
      </c>
      <c r="I6">
        <f>2408-SUM(I3:I5)</f>
        <v>851</v>
      </c>
      <c r="J6">
        <f>896-SUM(J3:J5)</f>
        <v>234</v>
      </c>
      <c r="K6">
        <f>159-SUM(K3:K5)</f>
        <v>38</v>
      </c>
      <c r="L6">
        <f t="shared" si="1"/>
        <v>20863</v>
      </c>
      <c r="M6">
        <f t="shared" si="2"/>
        <v>405</v>
      </c>
      <c r="N6">
        <f>40-SUM(N3:N5)</f>
        <v>8</v>
      </c>
      <c r="O6">
        <f>-92-SUM(O3:O5)</f>
        <v>-28</v>
      </c>
      <c r="P6">
        <f>-80-SUM(P3:P5)</f>
        <v>-49</v>
      </c>
      <c r="Q6">
        <f t="shared" si="3"/>
        <v>-69</v>
      </c>
      <c r="R6">
        <f t="shared" si="4"/>
        <v>336</v>
      </c>
      <c r="S6">
        <f>-428-SUM(S3:S5)</f>
        <v>-193</v>
      </c>
      <c r="T6">
        <f>-155-SUM(T3:T5)</f>
        <v>-45</v>
      </c>
      <c r="U6">
        <f t="shared" si="5"/>
        <v>98</v>
      </c>
    </row>
    <row r="7" spans="2:21" x14ac:dyDescent="0.2">
      <c r="B7" s="17" t="s">
        <v>4</v>
      </c>
      <c r="C7">
        <v>13271</v>
      </c>
      <c r="D7">
        <v>2799</v>
      </c>
      <c r="E7">
        <f t="shared" si="0"/>
        <v>16070</v>
      </c>
      <c r="F7">
        <v>11801</v>
      </c>
      <c r="G7" s="17">
        <v>1796</v>
      </c>
      <c r="H7">
        <v>1383</v>
      </c>
      <c r="I7">
        <v>632</v>
      </c>
      <c r="J7">
        <v>246</v>
      </c>
      <c r="K7">
        <v>31</v>
      </c>
      <c r="L7">
        <f t="shared" si="1"/>
        <v>15889</v>
      </c>
      <c r="M7">
        <f t="shared" si="2"/>
        <v>181</v>
      </c>
      <c r="N7">
        <v>10</v>
      </c>
      <c r="O7">
        <v>-33</v>
      </c>
      <c r="P7">
        <v>-77</v>
      </c>
      <c r="Q7">
        <f t="shared" si="3"/>
        <v>-100</v>
      </c>
      <c r="R7">
        <f t="shared" si="4"/>
        <v>81</v>
      </c>
      <c r="S7">
        <v>18</v>
      </c>
      <c r="T7">
        <v>-17</v>
      </c>
      <c r="U7">
        <f t="shared" si="5"/>
        <v>82</v>
      </c>
    </row>
    <row r="8" spans="2:21" x14ac:dyDescent="0.2">
      <c r="B8" s="17" t="s">
        <v>5</v>
      </c>
      <c r="C8">
        <v>12752</v>
      </c>
      <c r="D8">
        <v>2952</v>
      </c>
      <c r="E8">
        <f t="shared" si="0"/>
        <v>15704</v>
      </c>
      <c r="F8">
        <v>11209</v>
      </c>
      <c r="G8" s="17">
        <v>1837</v>
      </c>
      <c r="H8">
        <v>1586</v>
      </c>
      <c r="I8">
        <v>675</v>
      </c>
      <c r="J8">
        <v>286</v>
      </c>
      <c r="K8">
        <v>32</v>
      </c>
      <c r="L8">
        <f t="shared" si="1"/>
        <v>15625</v>
      </c>
      <c r="M8">
        <f t="shared" si="2"/>
        <v>79</v>
      </c>
      <c r="N8">
        <v>9</v>
      </c>
      <c r="O8">
        <v>-33</v>
      </c>
      <c r="P8">
        <v>-38</v>
      </c>
      <c r="Q8">
        <f t="shared" si="3"/>
        <v>-62</v>
      </c>
      <c r="R8">
        <f t="shared" si="4"/>
        <v>17</v>
      </c>
      <c r="S8">
        <v>-13</v>
      </c>
      <c r="T8">
        <v>-11</v>
      </c>
      <c r="U8">
        <f t="shared" si="5"/>
        <v>-7</v>
      </c>
    </row>
    <row r="9" spans="2:21" x14ac:dyDescent="0.2">
      <c r="B9" s="17" t="s">
        <v>6</v>
      </c>
      <c r="C9">
        <v>13808</v>
      </c>
      <c r="D9">
        <v>3284</v>
      </c>
      <c r="E9">
        <f t="shared" si="0"/>
        <v>17092</v>
      </c>
      <c r="F9">
        <v>12366</v>
      </c>
      <c r="G9" s="17">
        <v>2034</v>
      </c>
      <c r="H9">
        <v>1734</v>
      </c>
      <c r="I9">
        <v>694</v>
      </c>
      <c r="J9">
        <v>278</v>
      </c>
      <c r="K9">
        <v>11</v>
      </c>
      <c r="L9">
        <f t="shared" si="1"/>
        <v>17117</v>
      </c>
      <c r="M9">
        <f t="shared" si="2"/>
        <v>-25</v>
      </c>
      <c r="N9">
        <v>9</v>
      </c>
      <c r="O9">
        <v>-36</v>
      </c>
      <c r="P9">
        <v>9</v>
      </c>
      <c r="Q9">
        <f t="shared" si="3"/>
        <v>-18</v>
      </c>
      <c r="R9">
        <f t="shared" si="4"/>
        <v>-43</v>
      </c>
      <c r="S9">
        <v>12</v>
      </c>
      <c r="T9">
        <v>-10</v>
      </c>
      <c r="U9">
        <f t="shared" si="5"/>
        <v>-41</v>
      </c>
    </row>
    <row r="10" spans="2:21" x14ac:dyDescent="0.2">
      <c r="B10" s="17" t="s">
        <v>7</v>
      </c>
      <c r="C10">
        <f>60903-SUM(C7:C9)</f>
        <v>21072</v>
      </c>
      <c r="D10">
        <f>13549-SUM(D7:D9)</f>
        <v>4514</v>
      </c>
      <c r="E10">
        <f t="shared" si="0"/>
        <v>25586</v>
      </c>
      <c r="F10">
        <f>54181-SUM(F7:F9)</f>
        <v>18805</v>
      </c>
      <c r="G10" s="17">
        <f>8585-SUM(G7:G9)</f>
        <v>2918</v>
      </c>
      <c r="H10">
        <f>6565-SUM(H7:H9)</f>
        <v>1862</v>
      </c>
      <c r="I10">
        <f>3133-SUM(I7:I9)</f>
        <v>1132</v>
      </c>
      <c r="J10">
        <f>1129-SUM(J7:J9)</f>
        <v>319</v>
      </c>
      <c r="K10">
        <f>114-SUM(K7:K9)</f>
        <v>40</v>
      </c>
      <c r="L10">
        <f t="shared" si="1"/>
        <v>25076</v>
      </c>
      <c r="M10">
        <f t="shared" si="2"/>
        <v>510</v>
      </c>
      <c r="N10">
        <f>38-SUM(N7:N9)</f>
        <v>10</v>
      </c>
      <c r="O10">
        <f>-141-SUM(O7:O9)</f>
        <v>-39</v>
      </c>
      <c r="P10">
        <f>-136-SUM(P7:P9)</f>
        <v>-30</v>
      </c>
      <c r="Q10">
        <f t="shared" si="3"/>
        <v>-59</v>
      </c>
      <c r="R10">
        <f t="shared" si="4"/>
        <v>451</v>
      </c>
      <c r="S10">
        <f>-161-SUM(S7:S9)</f>
        <v>-178</v>
      </c>
      <c r="T10">
        <f>-71-SUM(T7:T9)</f>
        <v>-33</v>
      </c>
      <c r="U10">
        <f t="shared" si="5"/>
        <v>240</v>
      </c>
    </row>
    <row r="11" spans="2:21" x14ac:dyDescent="0.2">
      <c r="B11" s="17" t="s">
        <v>8</v>
      </c>
      <c r="C11">
        <v>15705</v>
      </c>
      <c r="D11">
        <v>4036</v>
      </c>
      <c r="E11">
        <f t="shared" si="0"/>
        <v>19741</v>
      </c>
      <c r="F11">
        <v>14055</v>
      </c>
      <c r="G11" s="17">
        <v>2317</v>
      </c>
      <c r="H11">
        <v>1991</v>
      </c>
      <c r="I11">
        <v>870</v>
      </c>
      <c r="J11">
        <v>327</v>
      </c>
      <c r="K11">
        <v>35</v>
      </c>
      <c r="L11">
        <f t="shared" si="1"/>
        <v>19595</v>
      </c>
      <c r="M11">
        <f t="shared" si="2"/>
        <v>146</v>
      </c>
      <c r="N11">
        <v>11</v>
      </c>
      <c r="O11">
        <v>-42</v>
      </c>
      <c r="P11">
        <v>5</v>
      </c>
      <c r="Q11">
        <f t="shared" si="3"/>
        <v>-26</v>
      </c>
      <c r="R11">
        <f t="shared" si="4"/>
        <v>120</v>
      </c>
      <c r="S11">
        <v>-73</v>
      </c>
      <c r="T11">
        <v>61</v>
      </c>
      <c r="U11">
        <f t="shared" si="5"/>
        <v>108</v>
      </c>
    </row>
    <row r="12" spans="2:21" x14ac:dyDescent="0.2">
      <c r="B12" s="17" t="s">
        <v>9</v>
      </c>
      <c r="C12">
        <v>15251</v>
      </c>
      <c r="D12">
        <v>4089</v>
      </c>
      <c r="E12">
        <f t="shared" si="0"/>
        <v>19340</v>
      </c>
      <c r="F12">
        <v>13399</v>
      </c>
      <c r="G12" s="17">
        <v>2382</v>
      </c>
      <c r="H12">
        <v>2226</v>
      </c>
      <c r="I12">
        <v>943</v>
      </c>
      <c r="J12">
        <v>377</v>
      </c>
      <c r="K12">
        <v>28</v>
      </c>
      <c r="L12">
        <f t="shared" si="1"/>
        <v>19355</v>
      </c>
      <c r="M12">
        <f t="shared" si="2"/>
        <v>-15</v>
      </c>
      <c r="N12">
        <v>11</v>
      </c>
      <c r="O12">
        <v>-45</v>
      </c>
      <c r="P12">
        <v>22</v>
      </c>
      <c r="Q12">
        <f t="shared" si="3"/>
        <v>-12</v>
      </c>
      <c r="R12">
        <f t="shared" si="4"/>
        <v>-27</v>
      </c>
      <c r="S12">
        <v>-94</v>
      </c>
      <c r="T12">
        <v>-5</v>
      </c>
      <c r="U12">
        <f t="shared" si="5"/>
        <v>-126</v>
      </c>
    </row>
    <row r="13" spans="2:21" x14ac:dyDescent="0.2">
      <c r="B13" s="17" t="s">
        <v>10</v>
      </c>
      <c r="C13">
        <v>16022</v>
      </c>
      <c r="D13">
        <v>4557</v>
      </c>
      <c r="E13">
        <f t="shared" si="0"/>
        <v>20579</v>
      </c>
      <c r="F13">
        <v>14627</v>
      </c>
      <c r="G13" s="17">
        <v>2643</v>
      </c>
      <c r="H13">
        <v>2423</v>
      </c>
      <c r="I13">
        <v>993</v>
      </c>
      <c r="J13">
        <v>406</v>
      </c>
      <c r="K13">
        <v>31</v>
      </c>
      <c r="L13">
        <f t="shared" si="1"/>
        <v>21123</v>
      </c>
      <c r="M13">
        <f t="shared" si="2"/>
        <v>-544</v>
      </c>
      <c r="N13">
        <v>9</v>
      </c>
      <c r="O13">
        <v>-49</v>
      </c>
      <c r="P13">
        <v>-50</v>
      </c>
      <c r="Q13">
        <f t="shared" si="3"/>
        <v>-90</v>
      </c>
      <c r="R13">
        <f t="shared" si="4"/>
        <v>-634</v>
      </c>
      <c r="S13">
        <v>205</v>
      </c>
      <c r="T13">
        <v>-8</v>
      </c>
      <c r="U13">
        <f t="shared" si="5"/>
        <v>-437</v>
      </c>
    </row>
    <row r="14" spans="2:21" x14ac:dyDescent="0.2">
      <c r="B14" s="17" t="s">
        <v>11</v>
      </c>
      <c r="C14">
        <f>70080-SUM(C11:C13)</f>
        <v>23102</v>
      </c>
      <c r="D14">
        <f>18908-SUM(D11:D13)</f>
        <v>6226</v>
      </c>
      <c r="E14">
        <f t="shared" si="0"/>
        <v>29328</v>
      </c>
      <c r="F14">
        <f>62752-SUM(F11:F13)</f>
        <v>20671</v>
      </c>
      <c r="G14" s="17">
        <f>10766-SUM(G11:G13)</f>
        <v>3424</v>
      </c>
      <c r="H14">
        <f>9275-SUM(H11:H13)</f>
        <v>2635</v>
      </c>
      <c r="I14">
        <f>4332-SUM(I11:I13)</f>
        <v>1526</v>
      </c>
      <c r="J14">
        <f>1552-SUM(J11:J13)</f>
        <v>442</v>
      </c>
      <c r="K14">
        <f>133-SUM(K11:K13)</f>
        <v>39</v>
      </c>
      <c r="L14">
        <f t="shared" si="1"/>
        <v>28737</v>
      </c>
      <c r="M14">
        <f t="shared" si="2"/>
        <v>591</v>
      </c>
      <c r="N14">
        <f>39-SUM(N11:N13)</f>
        <v>8</v>
      </c>
      <c r="O14">
        <f>-210-SUM(O11:O13)</f>
        <v>-74</v>
      </c>
      <c r="P14">
        <f>-118-SUM(P11:P13)</f>
        <v>-95</v>
      </c>
      <c r="Q14">
        <f t="shared" si="3"/>
        <v>-161</v>
      </c>
      <c r="R14">
        <f t="shared" si="4"/>
        <v>430</v>
      </c>
      <c r="S14">
        <f>-167-SUM(S11:S13)</f>
        <v>-205</v>
      </c>
      <c r="T14">
        <f>37-SUM(T11:T13)</f>
        <v>-11</v>
      </c>
      <c r="U14">
        <f t="shared" si="5"/>
        <v>214</v>
      </c>
    </row>
    <row r="15" spans="2:21" x14ac:dyDescent="0.2">
      <c r="B15" s="17" t="s">
        <v>12</v>
      </c>
      <c r="C15">
        <v>17084</v>
      </c>
      <c r="D15">
        <v>5633</v>
      </c>
      <c r="E15">
        <f t="shared" si="0"/>
        <v>22717</v>
      </c>
      <c r="F15">
        <v>15395</v>
      </c>
      <c r="G15" s="17">
        <v>2759</v>
      </c>
      <c r="H15">
        <v>2754</v>
      </c>
      <c r="I15">
        <v>1083</v>
      </c>
      <c r="J15">
        <v>427</v>
      </c>
      <c r="K15">
        <v>44</v>
      </c>
      <c r="L15">
        <f t="shared" si="1"/>
        <v>22462</v>
      </c>
      <c r="M15">
        <f t="shared" si="2"/>
        <v>255</v>
      </c>
      <c r="N15">
        <v>11</v>
      </c>
      <c r="O15">
        <v>-115</v>
      </c>
      <c r="P15">
        <v>-130</v>
      </c>
      <c r="Q15">
        <f t="shared" si="3"/>
        <v>-234</v>
      </c>
      <c r="R15">
        <f t="shared" si="4"/>
        <v>21</v>
      </c>
      <c r="S15">
        <v>-71</v>
      </c>
      <c r="T15">
        <v>-7</v>
      </c>
      <c r="U15">
        <f t="shared" si="5"/>
        <v>-57</v>
      </c>
    </row>
    <row r="16" spans="2:21" x14ac:dyDescent="0.2">
      <c r="B16" s="17" t="s">
        <v>13</v>
      </c>
      <c r="C16">
        <v>17104</v>
      </c>
      <c r="D16">
        <v>6081</v>
      </c>
      <c r="E16">
        <f t="shared" si="0"/>
        <v>23185</v>
      </c>
      <c r="F16">
        <v>15160</v>
      </c>
      <c r="G16" s="17">
        <v>2876</v>
      </c>
      <c r="H16">
        <v>3020</v>
      </c>
      <c r="I16">
        <v>1150</v>
      </c>
      <c r="J16">
        <v>467</v>
      </c>
      <c r="K16">
        <v>48</v>
      </c>
      <c r="L16">
        <f t="shared" si="1"/>
        <v>22721</v>
      </c>
      <c r="M16">
        <f t="shared" si="2"/>
        <v>464</v>
      </c>
      <c r="N16">
        <v>12</v>
      </c>
      <c r="O16">
        <v>-114</v>
      </c>
      <c r="P16">
        <v>0</v>
      </c>
      <c r="Q16">
        <f t="shared" si="3"/>
        <v>-102</v>
      </c>
      <c r="R16">
        <f t="shared" si="4"/>
        <v>362</v>
      </c>
      <c r="S16">
        <v>-266</v>
      </c>
      <c r="T16">
        <v>-4</v>
      </c>
      <c r="U16">
        <f t="shared" si="5"/>
        <v>92</v>
      </c>
    </row>
    <row r="17" spans="2:21" x14ac:dyDescent="0.2">
      <c r="B17" s="17" t="s">
        <v>14</v>
      </c>
      <c r="C17">
        <v>18463</v>
      </c>
      <c r="D17">
        <v>6895</v>
      </c>
      <c r="E17">
        <f t="shared" si="0"/>
        <v>25358</v>
      </c>
      <c r="F17">
        <v>16755</v>
      </c>
      <c r="G17" s="17">
        <v>3230</v>
      </c>
      <c r="H17">
        <v>3197</v>
      </c>
      <c r="I17">
        <v>1264</v>
      </c>
      <c r="J17">
        <v>463</v>
      </c>
      <c r="K17">
        <v>43</v>
      </c>
      <c r="L17">
        <f t="shared" si="1"/>
        <v>24952</v>
      </c>
      <c r="M17">
        <f t="shared" si="2"/>
        <v>406</v>
      </c>
      <c r="N17">
        <v>13</v>
      </c>
      <c r="O17">
        <v>-116</v>
      </c>
      <c r="P17">
        <v>-56</v>
      </c>
      <c r="Q17">
        <f t="shared" si="3"/>
        <v>-159</v>
      </c>
      <c r="R17">
        <f t="shared" si="4"/>
        <v>247</v>
      </c>
      <c r="S17">
        <v>-161</v>
      </c>
      <c r="T17">
        <v>-7</v>
      </c>
      <c r="U17">
        <f t="shared" si="5"/>
        <v>79</v>
      </c>
    </row>
    <row r="18" spans="2:21" x14ac:dyDescent="0.2">
      <c r="B18" s="17" t="s">
        <v>15</v>
      </c>
      <c r="C18">
        <f>79268-SUM(C15:C17)</f>
        <v>26617</v>
      </c>
      <c r="D18">
        <f>27738-SUM(D15:D17)</f>
        <v>9129</v>
      </c>
      <c r="E18">
        <f t="shared" si="0"/>
        <v>35746</v>
      </c>
      <c r="F18">
        <f>71651-SUM(F15:F17)</f>
        <v>24341</v>
      </c>
      <c r="G18" s="17">
        <f>13410-SUM(G15:G17)</f>
        <v>4545</v>
      </c>
      <c r="H18">
        <f>12540-SUM(H15:H17)</f>
        <v>3569</v>
      </c>
      <c r="I18">
        <f>5254-SUM(I15:I17)</f>
        <v>1757</v>
      </c>
      <c r="J18">
        <f>1747-SUM(J15:J17)</f>
        <v>390</v>
      </c>
      <c r="K18">
        <f>171-SUM(K15:K17)</f>
        <v>36</v>
      </c>
      <c r="L18">
        <f t="shared" si="1"/>
        <v>34638</v>
      </c>
      <c r="M18">
        <f t="shared" si="2"/>
        <v>1108</v>
      </c>
      <c r="N18">
        <f>50-SUM(N15:N17)</f>
        <v>14</v>
      </c>
      <c r="O18">
        <f>-459-SUM(O15:O17)</f>
        <v>-114</v>
      </c>
      <c r="P18">
        <f>-256-SUM(P15:P17)</f>
        <v>-70</v>
      </c>
      <c r="Q18">
        <f t="shared" si="3"/>
        <v>-170</v>
      </c>
      <c r="R18">
        <f t="shared" si="4"/>
        <v>938</v>
      </c>
      <c r="S18">
        <f>-950-SUM(S15:S17)</f>
        <v>-452</v>
      </c>
      <c r="T18">
        <f>-22-SUM(T15:T17)</f>
        <v>-4</v>
      </c>
      <c r="U18">
        <f t="shared" si="5"/>
        <v>482</v>
      </c>
    </row>
    <row r="19" spans="2:21" x14ac:dyDescent="0.2">
      <c r="B19" s="17" t="s">
        <v>16</v>
      </c>
      <c r="C19">
        <v>20581</v>
      </c>
      <c r="D19">
        <v>8547</v>
      </c>
      <c r="E19">
        <f t="shared" si="0"/>
        <v>29128</v>
      </c>
      <c r="F19">
        <v>18866</v>
      </c>
      <c r="G19" s="17">
        <v>3687</v>
      </c>
      <c r="H19">
        <v>3526</v>
      </c>
      <c r="I19">
        <v>1436</v>
      </c>
      <c r="J19">
        <v>497</v>
      </c>
      <c r="K19">
        <v>45</v>
      </c>
      <c r="L19">
        <f t="shared" si="1"/>
        <v>28057</v>
      </c>
      <c r="M19">
        <f t="shared" si="2"/>
        <v>1071</v>
      </c>
      <c r="N19">
        <v>21</v>
      </c>
      <c r="O19">
        <v>-117</v>
      </c>
      <c r="P19">
        <v>81</v>
      </c>
      <c r="Q19">
        <f t="shared" si="3"/>
        <v>-15</v>
      </c>
      <c r="R19">
        <f t="shared" si="4"/>
        <v>1056</v>
      </c>
      <c r="S19">
        <v>-475</v>
      </c>
      <c r="T19">
        <v>-68</v>
      </c>
      <c r="U19">
        <f t="shared" si="5"/>
        <v>513</v>
      </c>
    </row>
    <row r="20" spans="2:21" x14ac:dyDescent="0.2">
      <c r="B20" s="17" t="s">
        <v>17</v>
      </c>
      <c r="C20">
        <v>21116</v>
      </c>
      <c r="D20">
        <v>9288</v>
      </c>
      <c r="E20">
        <f t="shared" si="0"/>
        <v>30404</v>
      </c>
      <c r="F20">
        <v>19180</v>
      </c>
      <c r="G20" s="17">
        <v>3878</v>
      </c>
      <c r="H20">
        <v>3880</v>
      </c>
      <c r="I20">
        <v>1546</v>
      </c>
      <c r="J20">
        <v>580</v>
      </c>
      <c r="K20">
        <v>55</v>
      </c>
      <c r="L20">
        <f t="shared" si="1"/>
        <v>29119</v>
      </c>
      <c r="M20">
        <f t="shared" si="2"/>
        <v>1285</v>
      </c>
      <c r="N20">
        <v>24</v>
      </c>
      <c r="O20">
        <v>-116</v>
      </c>
      <c r="P20">
        <v>-14</v>
      </c>
      <c r="Q20">
        <f t="shared" si="3"/>
        <v>-106</v>
      </c>
      <c r="R20">
        <f t="shared" si="4"/>
        <v>1179</v>
      </c>
      <c r="S20">
        <v>-307</v>
      </c>
      <c r="T20">
        <v>-15</v>
      </c>
      <c r="U20">
        <f t="shared" si="5"/>
        <v>857</v>
      </c>
    </row>
    <row r="21" spans="2:21" x14ac:dyDescent="0.2">
      <c r="B21" s="17" t="s">
        <v>18</v>
      </c>
      <c r="C21">
        <v>22339</v>
      </c>
      <c r="D21">
        <v>10375</v>
      </c>
      <c r="E21">
        <f t="shared" si="0"/>
        <v>32714</v>
      </c>
      <c r="F21">
        <v>21260</v>
      </c>
      <c r="G21" s="17">
        <v>4335</v>
      </c>
      <c r="H21">
        <v>4135</v>
      </c>
      <c r="I21">
        <v>1738</v>
      </c>
      <c r="J21">
        <v>639</v>
      </c>
      <c r="K21">
        <v>32</v>
      </c>
      <c r="L21">
        <f t="shared" si="1"/>
        <v>32139</v>
      </c>
      <c r="M21">
        <f t="shared" si="2"/>
        <v>575</v>
      </c>
      <c r="N21">
        <v>26</v>
      </c>
      <c r="O21">
        <v>-118</v>
      </c>
      <c r="P21">
        <v>8</v>
      </c>
      <c r="Q21">
        <f t="shared" si="3"/>
        <v>-84</v>
      </c>
      <c r="R21">
        <f t="shared" si="4"/>
        <v>491</v>
      </c>
      <c r="S21">
        <v>-229</v>
      </c>
      <c r="T21">
        <v>-10</v>
      </c>
      <c r="U21">
        <f t="shared" si="5"/>
        <v>252</v>
      </c>
    </row>
    <row r="22" spans="2:21" x14ac:dyDescent="0.2">
      <c r="B22" s="17" t="s">
        <v>19</v>
      </c>
      <c r="C22">
        <f>94665-SUM(C19:C21)</f>
        <v>30629</v>
      </c>
      <c r="D22">
        <f>41322-SUM(D19:D21)</f>
        <v>13112</v>
      </c>
      <c r="E22">
        <f t="shared" si="0"/>
        <v>43741</v>
      </c>
      <c r="F22">
        <f>88265-SUM(F19:F21)</f>
        <v>28959</v>
      </c>
      <c r="G22" s="17">
        <f>17619-SUM(G19:G21)</f>
        <v>5719</v>
      </c>
      <c r="H22">
        <f>16085-SUM(H19:H21)</f>
        <v>4544</v>
      </c>
      <c r="I22">
        <f>7233-SUM(I19:I21)</f>
        <v>2513</v>
      </c>
      <c r="J22">
        <f>2432-SUM(J19:J21)</f>
        <v>716</v>
      </c>
      <c r="K22">
        <f>167-SUM(K19:K21)</f>
        <v>35</v>
      </c>
      <c r="L22">
        <f t="shared" si="1"/>
        <v>42486</v>
      </c>
      <c r="M22">
        <f t="shared" si="2"/>
        <v>1255</v>
      </c>
      <c r="N22">
        <f>100-SUM(N19:N21)</f>
        <v>29</v>
      </c>
      <c r="O22">
        <f>-484-SUM(O19:O21)</f>
        <v>-133</v>
      </c>
      <c r="P22">
        <f>90-SUM(P19:P21)</f>
        <v>15</v>
      </c>
      <c r="Q22">
        <f t="shared" si="3"/>
        <v>-89</v>
      </c>
      <c r="R22">
        <f t="shared" si="4"/>
        <v>1166</v>
      </c>
      <c r="S22">
        <f>-1425-SUM(S19:S21)</f>
        <v>-414</v>
      </c>
      <c r="T22">
        <f>-96-SUM(T19:T21)</f>
        <v>-3</v>
      </c>
      <c r="U22">
        <f t="shared" si="5"/>
        <v>749</v>
      </c>
    </row>
    <row r="23" spans="2:21" x14ac:dyDescent="0.2">
      <c r="B23" s="17" t="s">
        <v>20</v>
      </c>
      <c r="C23">
        <v>23734</v>
      </c>
      <c r="D23">
        <v>11980</v>
      </c>
      <c r="E23">
        <f t="shared" si="0"/>
        <v>35714</v>
      </c>
      <c r="F23">
        <v>22440</v>
      </c>
      <c r="G23" s="17">
        <v>4697</v>
      </c>
      <c r="H23">
        <v>4813</v>
      </c>
      <c r="I23">
        <v>1920</v>
      </c>
      <c r="J23">
        <v>795</v>
      </c>
      <c r="K23">
        <v>44</v>
      </c>
      <c r="L23">
        <f t="shared" si="1"/>
        <v>34709</v>
      </c>
      <c r="M23">
        <f t="shared" si="2"/>
        <v>1005</v>
      </c>
      <c r="N23">
        <v>39</v>
      </c>
      <c r="O23">
        <v>-139</v>
      </c>
      <c r="P23">
        <v>48</v>
      </c>
      <c r="Q23">
        <f t="shared" si="3"/>
        <v>-52</v>
      </c>
      <c r="R23">
        <f t="shared" si="4"/>
        <v>953</v>
      </c>
      <c r="S23">
        <v>-229</v>
      </c>
      <c r="T23">
        <v>0</v>
      </c>
      <c r="U23">
        <f t="shared" si="5"/>
        <v>724</v>
      </c>
    </row>
    <row r="24" spans="2:21" x14ac:dyDescent="0.2">
      <c r="B24" s="17" t="s">
        <v>21</v>
      </c>
      <c r="C24">
        <v>24745</v>
      </c>
      <c r="D24">
        <v>13210</v>
      </c>
      <c r="E24">
        <f t="shared" si="0"/>
        <v>37955</v>
      </c>
      <c r="F24">
        <v>23451</v>
      </c>
      <c r="G24" s="17">
        <v>5158</v>
      </c>
      <c r="H24">
        <v>5549</v>
      </c>
      <c r="I24">
        <v>2229</v>
      </c>
      <c r="J24">
        <v>874</v>
      </c>
      <c r="K24">
        <v>66</v>
      </c>
      <c r="L24">
        <f t="shared" si="1"/>
        <v>37327</v>
      </c>
      <c r="M24">
        <f t="shared" si="2"/>
        <v>628</v>
      </c>
      <c r="N24">
        <v>44</v>
      </c>
      <c r="O24">
        <v>-143</v>
      </c>
      <c r="P24">
        <v>137</v>
      </c>
      <c r="Q24">
        <f t="shared" si="3"/>
        <v>38</v>
      </c>
      <c r="R24">
        <f t="shared" si="4"/>
        <v>666</v>
      </c>
      <c r="S24">
        <v>-467</v>
      </c>
      <c r="T24">
        <v>-2</v>
      </c>
      <c r="U24">
        <f t="shared" si="5"/>
        <v>197</v>
      </c>
    </row>
    <row r="25" spans="2:21" x14ac:dyDescent="0.2">
      <c r="B25" s="17" t="s">
        <v>22</v>
      </c>
      <c r="C25">
        <v>28768</v>
      </c>
      <c r="D25">
        <v>14976</v>
      </c>
      <c r="E25">
        <f t="shared" si="0"/>
        <v>43744</v>
      </c>
      <c r="F25">
        <v>27549</v>
      </c>
      <c r="G25" s="17">
        <v>6420</v>
      </c>
      <c r="H25">
        <v>5944</v>
      </c>
      <c r="I25">
        <v>2479</v>
      </c>
      <c r="J25">
        <v>960</v>
      </c>
      <c r="K25">
        <v>45</v>
      </c>
      <c r="L25">
        <f t="shared" si="1"/>
        <v>43397</v>
      </c>
      <c r="M25">
        <f t="shared" si="2"/>
        <v>347</v>
      </c>
      <c r="N25">
        <v>54</v>
      </c>
      <c r="O25">
        <v>-228</v>
      </c>
      <c r="P25">
        <v>143</v>
      </c>
      <c r="Q25">
        <f t="shared" si="3"/>
        <v>-31</v>
      </c>
      <c r="R25">
        <f t="shared" si="4"/>
        <v>316</v>
      </c>
      <c r="S25">
        <v>-58</v>
      </c>
      <c r="T25">
        <v>-2</v>
      </c>
      <c r="U25">
        <f t="shared" si="5"/>
        <v>256</v>
      </c>
    </row>
    <row r="26" spans="2:21" x14ac:dyDescent="0.2">
      <c r="B26" s="17" t="s">
        <v>23</v>
      </c>
      <c r="C26">
        <f>118573-SUM(C23:C25)</f>
        <v>41326</v>
      </c>
      <c r="D26">
        <f>59293-SUM(D23:D25)</f>
        <v>19127</v>
      </c>
      <c r="E26">
        <f t="shared" si="0"/>
        <v>60453</v>
      </c>
      <c r="F26">
        <f>111934-SUM(F23:F25)</f>
        <v>38494</v>
      </c>
      <c r="G26" s="17">
        <f>25249-SUM(G23:G25)</f>
        <v>8974</v>
      </c>
      <c r="H26">
        <f>22620-SUM(H23:H25)</f>
        <v>6314</v>
      </c>
      <c r="I26">
        <f>10069-SUM(I23:I25)</f>
        <v>3441</v>
      </c>
      <c r="J26">
        <f>3674-SUM(J23:J25)</f>
        <v>1045</v>
      </c>
      <c r="K26">
        <f>214-SUM(K23:K25)</f>
        <v>59</v>
      </c>
      <c r="L26">
        <f t="shared" si="1"/>
        <v>58327</v>
      </c>
      <c r="M26">
        <f t="shared" si="2"/>
        <v>2126</v>
      </c>
      <c r="N26">
        <f>202-SUM(N23:N25)</f>
        <v>65</v>
      </c>
      <c r="O26">
        <f>-848-SUM(O23:O25)</f>
        <v>-338</v>
      </c>
      <c r="P26">
        <f>346-SUM(P23:P25)</f>
        <v>18</v>
      </c>
      <c r="Q26">
        <f t="shared" si="3"/>
        <v>-255</v>
      </c>
      <c r="R26">
        <f t="shared" si="4"/>
        <v>1871</v>
      </c>
      <c r="S26">
        <f>-769-SUM(S23:S25)</f>
        <v>-15</v>
      </c>
      <c r="T26">
        <f>-4-SUM(T23:T25)</f>
        <v>0</v>
      </c>
      <c r="U26">
        <f t="shared" si="5"/>
        <v>1856</v>
      </c>
    </row>
    <row r="27" spans="2:21" x14ac:dyDescent="0.2">
      <c r="B27" s="17" t="s">
        <v>24</v>
      </c>
      <c r="C27">
        <v>31605</v>
      </c>
      <c r="D27">
        <v>19437</v>
      </c>
      <c r="E27">
        <f t="shared" si="0"/>
        <v>51042</v>
      </c>
      <c r="F27">
        <v>30735</v>
      </c>
      <c r="G27" s="17">
        <v>7792</v>
      </c>
      <c r="H27">
        <v>6759</v>
      </c>
      <c r="I27">
        <v>2699</v>
      </c>
      <c r="J27">
        <v>1067</v>
      </c>
      <c r="K27">
        <v>63</v>
      </c>
      <c r="L27">
        <f t="shared" si="1"/>
        <v>49115</v>
      </c>
      <c r="M27">
        <f t="shared" si="2"/>
        <v>1927</v>
      </c>
      <c r="N27">
        <v>80</v>
      </c>
      <c r="O27">
        <v>-330</v>
      </c>
      <c r="P27">
        <v>239</v>
      </c>
      <c r="Q27">
        <f t="shared" si="3"/>
        <v>-11</v>
      </c>
      <c r="R27">
        <f t="shared" si="4"/>
        <v>1916</v>
      </c>
      <c r="S27">
        <v>-287</v>
      </c>
      <c r="T27">
        <v>0</v>
      </c>
      <c r="U27">
        <f t="shared" si="5"/>
        <v>1629</v>
      </c>
    </row>
    <row r="28" spans="2:21" x14ac:dyDescent="0.2">
      <c r="B28" s="17" t="s">
        <v>25</v>
      </c>
      <c r="C28">
        <v>31864</v>
      </c>
      <c r="D28">
        <v>21022</v>
      </c>
      <c r="E28">
        <f t="shared" si="0"/>
        <v>52886</v>
      </c>
      <c r="F28">
        <v>30632</v>
      </c>
      <c r="G28" s="17">
        <v>7932</v>
      </c>
      <c r="H28">
        <v>7247</v>
      </c>
      <c r="I28">
        <v>2901</v>
      </c>
      <c r="J28">
        <v>1111</v>
      </c>
      <c r="K28">
        <v>80</v>
      </c>
      <c r="L28">
        <f t="shared" si="1"/>
        <v>49903</v>
      </c>
      <c r="M28">
        <f t="shared" si="2"/>
        <v>2983</v>
      </c>
      <c r="N28">
        <v>94</v>
      </c>
      <c r="O28">
        <v>-343</v>
      </c>
      <c r="P28">
        <v>-129</v>
      </c>
      <c r="Q28">
        <f t="shared" si="3"/>
        <v>-378</v>
      </c>
      <c r="R28">
        <f t="shared" si="4"/>
        <v>2605</v>
      </c>
      <c r="S28">
        <v>-74</v>
      </c>
      <c r="T28">
        <v>3</v>
      </c>
      <c r="U28">
        <f t="shared" si="5"/>
        <v>2534</v>
      </c>
    </row>
    <row r="29" spans="2:21" x14ac:dyDescent="0.2">
      <c r="B29" s="17" t="s">
        <v>26</v>
      </c>
      <c r="C29">
        <v>33746</v>
      </c>
      <c r="D29">
        <v>22830</v>
      </c>
      <c r="E29">
        <f t="shared" si="0"/>
        <v>56576</v>
      </c>
      <c r="F29">
        <v>33003</v>
      </c>
      <c r="G29" s="17">
        <v>8275</v>
      </c>
      <c r="H29">
        <v>7162</v>
      </c>
      <c r="I29">
        <v>3303</v>
      </c>
      <c r="J29">
        <v>1041</v>
      </c>
      <c r="K29">
        <v>68</v>
      </c>
      <c r="L29">
        <f t="shared" si="1"/>
        <v>52852</v>
      </c>
      <c r="M29">
        <f t="shared" si="2"/>
        <v>3724</v>
      </c>
      <c r="N29">
        <v>117</v>
      </c>
      <c r="O29">
        <v>-358</v>
      </c>
      <c r="P29">
        <v>-93</v>
      </c>
      <c r="Q29">
        <f t="shared" si="3"/>
        <v>-334</v>
      </c>
      <c r="R29">
        <f t="shared" si="4"/>
        <v>3390</v>
      </c>
      <c r="S29">
        <v>-508</v>
      </c>
      <c r="T29">
        <v>1</v>
      </c>
      <c r="U29">
        <f t="shared" si="5"/>
        <v>2883</v>
      </c>
    </row>
    <row r="30" spans="2:21" x14ac:dyDescent="0.2">
      <c r="B30" s="17" t="s">
        <v>27</v>
      </c>
      <c r="C30">
        <f>141915-SUM(C27:C29)</f>
        <v>44700</v>
      </c>
      <c r="D30">
        <f>90972-SUM(D27:D29)</f>
        <v>27683</v>
      </c>
      <c r="E30">
        <f t="shared" si="0"/>
        <v>72383</v>
      </c>
      <c r="F30">
        <f>139156-SUM(F27:F29)</f>
        <v>44786</v>
      </c>
      <c r="G30" s="17">
        <f>34027-SUM(G27:G29)</f>
        <v>10028</v>
      </c>
      <c r="H30">
        <f>28837-SUM(H27:H29)</f>
        <v>7669</v>
      </c>
      <c r="I30">
        <f>13814-SUM(I27:I29)</f>
        <v>4911</v>
      </c>
      <c r="J30">
        <f>4336-SUM(J27:J29)</f>
        <v>1117</v>
      </c>
      <c r="K30">
        <f>296-SUM(K27:K29)</f>
        <v>85</v>
      </c>
      <c r="L30">
        <f t="shared" si="1"/>
        <v>68596</v>
      </c>
      <c r="M30">
        <f t="shared" si="2"/>
        <v>3787</v>
      </c>
      <c r="N30">
        <f>440-SUM(N27:N29)</f>
        <v>149</v>
      </c>
      <c r="O30">
        <f>-1417-SUM(O27:O29)</f>
        <v>-386</v>
      </c>
      <c r="P30">
        <f>-183-SUM(P27:P29)</f>
        <v>-200</v>
      </c>
      <c r="Q30">
        <f t="shared" si="3"/>
        <v>-437</v>
      </c>
      <c r="R30">
        <f t="shared" si="4"/>
        <v>3350</v>
      </c>
      <c r="S30">
        <f>-1197-SUM(S27:S29)</f>
        <v>-328</v>
      </c>
      <c r="T30">
        <f>9-SUM(T27:T29)</f>
        <v>5</v>
      </c>
      <c r="U30">
        <f t="shared" si="5"/>
        <v>3027</v>
      </c>
    </row>
    <row r="31" spans="2:21" x14ac:dyDescent="0.2">
      <c r="B31" s="17" t="s">
        <v>28</v>
      </c>
      <c r="C31">
        <v>34283</v>
      </c>
      <c r="D31">
        <v>25417</v>
      </c>
      <c r="E31">
        <f t="shared" si="0"/>
        <v>59700</v>
      </c>
      <c r="F31">
        <v>33920</v>
      </c>
      <c r="G31" s="17">
        <v>8601</v>
      </c>
      <c r="H31">
        <v>7927</v>
      </c>
      <c r="I31">
        <v>3664</v>
      </c>
      <c r="J31">
        <v>1173</v>
      </c>
      <c r="K31">
        <v>-5</v>
      </c>
      <c r="L31">
        <f t="shared" si="1"/>
        <v>55280</v>
      </c>
      <c r="M31">
        <f t="shared" si="2"/>
        <v>4420</v>
      </c>
      <c r="N31">
        <v>183</v>
      </c>
      <c r="O31">
        <v>-366</v>
      </c>
      <c r="P31">
        <v>164</v>
      </c>
      <c r="Q31">
        <f t="shared" si="3"/>
        <v>-19</v>
      </c>
      <c r="R31">
        <f t="shared" si="4"/>
        <v>4401</v>
      </c>
      <c r="S31">
        <v>-836</v>
      </c>
      <c r="T31">
        <v>-4</v>
      </c>
      <c r="U31">
        <f t="shared" si="5"/>
        <v>3561</v>
      </c>
    </row>
    <row r="32" spans="2:21" x14ac:dyDescent="0.2">
      <c r="B32" s="17" t="s">
        <v>29</v>
      </c>
      <c r="C32">
        <v>35856</v>
      </c>
      <c r="D32">
        <v>27548</v>
      </c>
      <c r="E32">
        <f t="shared" si="0"/>
        <v>63404</v>
      </c>
      <c r="F32">
        <v>36337</v>
      </c>
      <c r="G32" s="17">
        <v>9271</v>
      </c>
      <c r="H32">
        <v>9065</v>
      </c>
      <c r="I32">
        <v>4291</v>
      </c>
      <c r="J32">
        <v>1270</v>
      </c>
      <c r="K32">
        <v>86</v>
      </c>
      <c r="L32">
        <f t="shared" si="1"/>
        <v>60320</v>
      </c>
      <c r="M32">
        <f t="shared" si="2"/>
        <v>3084</v>
      </c>
      <c r="N32">
        <v>215</v>
      </c>
      <c r="O32">
        <v>-383</v>
      </c>
      <c r="P32">
        <v>-27</v>
      </c>
      <c r="Q32">
        <f t="shared" si="3"/>
        <v>-195</v>
      </c>
      <c r="R32">
        <f t="shared" si="4"/>
        <v>2889</v>
      </c>
      <c r="S32">
        <v>-257</v>
      </c>
      <c r="T32">
        <v>-7</v>
      </c>
      <c r="U32">
        <f t="shared" si="5"/>
        <v>2625</v>
      </c>
    </row>
    <row r="33" spans="2:21" x14ac:dyDescent="0.2">
      <c r="B33" s="17" t="s">
        <v>30</v>
      </c>
      <c r="C33">
        <v>39726</v>
      </c>
      <c r="D33">
        <v>30255</v>
      </c>
      <c r="E33">
        <f t="shared" si="0"/>
        <v>69981</v>
      </c>
      <c r="F33">
        <v>41302</v>
      </c>
      <c r="G33" s="17">
        <v>10167</v>
      </c>
      <c r="H33">
        <v>9200</v>
      </c>
      <c r="I33">
        <v>4752</v>
      </c>
      <c r="J33">
        <v>1348</v>
      </c>
      <c r="K33">
        <v>55</v>
      </c>
      <c r="L33">
        <f t="shared" si="1"/>
        <v>66824</v>
      </c>
      <c r="M33">
        <f t="shared" si="2"/>
        <v>3157</v>
      </c>
      <c r="N33">
        <v>224</v>
      </c>
      <c r="O33">
        <v>-396</v>
      </c>
      <c r="P33">
        <v>-353</v>
      </c>
      <c r="Q33">
        <f t="shared" si="3"/>
        <v>-525</v>
      </c>
      <c r="R33">
        <f t="shared" si="4"/>
        <v>2632</v>
      </c>
      <c r="S33">
        <v>-494</v>
      </c>
      <c r="T33">
        <v>-4</v>
      </c>
      <c r="U33">
        <f t="shared" si="5"/>
        <v>2134</v>
      </c>
    </row>
    <row r="34" spans="2:21" x14ac:dyDescent="0.2">
      <c r="B34" s="17" t="s">
        <v>31</v>
      </c>
      <c r="C34">
        <f>160408-SUM(C31:C33)</f>
        <v>50543</v>
      </c>
      <c r="D34">
        <f>120114-SUM(D31:D33)</f>
        <v>36894</v>
      </c>
      <c r="E34">
        <f t="shared" si="0"/>
        <v>87437</v>
      </c>
      <c r="F34">
        <f>165536-SUM(F31:F33)</f>
        <v>53977</v>
      </c>
      <c r="G34" s="17">
        <f>40232-SUM(G31:G33)</f>
        <v>12193</v>
      </c>
      <c r="H34">
        <f>35931-SUM(H31:H33)</f>
        <v>9739</v>
      </c>
      <c r="I34">
        <f>18878-SUM(I31:I33)</f>
        <v>6171</v>
      </c>
      <c r="J34">
        <f>5203-SUM(J31:J33)</f>
        <v>1412</v>
      </c>
      <c r="K34">
        <f>201-SUM(K31:K33)</f>
        <v>65</v>
      </c>
      <c r="L34">
        <f t="shared" si="1"/>
        <v>83557</v>
      </c>
      <c r="M34">
        <f t="shared" si="2"/>
        <v>3880</v>
      </c>
      <c r="N34">
        <f>832-SUM(N31:N33)</f>
        <v>210</v>
      </c>
      <c r="O34">
        <f>-1600-SUM(O31:O33)</f>
        <v>-455</v>
      </c>
      <c r="P34">
        <f>203-SUM(P31:P33)</f>
        <v>419</v>
      </c>
      <c r="Q34">
        <f t="shared" si="3"/>
        <v>174</v>
      </c>
      <c r="R34">
        <f t="shared" si="4"/>
        <v>4054</v>
      </c>
      <c r="S34">
        <f>-2374-SUM(S31:S33)</f>
        <v>-787</v>
      </c>
      <c r="T34">
        <f>-14-SUM(T31:T33)</f>
        <v>1</v>
      </c>
      <c r="U34">
        <f t="shared" si="5"/>
        <v>3268</v>
      </c>
    </row>
    <row r="35" spans="2:21" x14ac:dyDescent="0.2">
      <c r="B35" s="17" t="s">
        <v>32</v>
      </c>
      <c r="C35">
        <v>41841</v>
      </c>
      <c r="D35">
        <v>33611</v>
      </c>
      <c r="E35">
        <f t="shared" ref="E35:E52" si="6">C35+D35</f>
        <v>75452</v>
      </c>
      <c r="F35">
        <v>44257</v>
      </c>
      <c r="G35" s="17">
        <v>11531</v>
      </c>
      <c r="H35">
        <v>9325</v>
      </c>
      <c r="I35">
        <v>4828</v>
      </c>
      <c r="J35">
        <v>1452</v>
      </c>
      <c r="K35">
        <v>70</v>
      </c>
      <c r="L35">
        <f t="shared" ref="L35:L52" si="7">SUMPRODUCT(F35:K35)</f>
        <v>71463</v>
      </c>
      <c r="M35">
        <f t="shared" ref="M35:M52" si="8">E35-L35</f>
        <v>3989</v>
      </c>
      <c r="N35">
        <v>202</v>
      </c>
      <c r="O35">
        <v>-402</v>
      </c>
      <c r="P35">
        <v>-406</v>
      </c>
      <c r="Q35">
        <f t="shared" ref="Q35:Q52" si="9">SUMPRODUCT(N35:P35)</f>
        <v>-606</v>
      </c>
      <c r="R35">
        <f t="shared" si="4"/>
        <v>3383</v>
      </c>
      <c r="S35">
        <v>-744</v>
      </c>
      <c r="T35">
        <v>-104</v>
      </c>
      <c r="U35">
        <f t="shared" ref="U35:U52" si="10">R35+S35+T35</f>
        <v>2535</v>
      </c>
    </row>
    <row r="36" spans="2:21" x14ac:dyDescent="0.2">
      <c r="B36" s="17" t="s">
        <v>33</v>
      </c>
      <c r="C36">
        <v>50244</v>
      </c>
      <c r="D36">
        <v>38668</v>
      </c>
      <c r="E36">
        <f t="shared" si="6"/>
        <v>88912</v>
      </c>
      <c r="F36">
        <v>52660</v>
      </c>
      <c r="G36" s="17">
        <v>13806</v>
      </c>
      <c r="H36">
        <v>10388</v>
      </c>
      <c r="I36">
        <v>4345</v>
      </c>
      <c r="J36">
        <v>1580</v>
      </c>
      <c r="K36">
        <v>290</v>
      </c>
      <c r="L36">
        <f t="shared" si="7"/>
        <v>83069</v>
      </c>
      <c r="M36">
        <f t="shared" si="8"/>
        <v>5843</v>
      </c>
      <c r="N36">
        <v>135</v>
      </c>
      <c r="O36">
        <v>-403</v>
      </c>
      <c r="P36">
        <v>646</v>
      </c>
      <c r="Q36">
        <f t="shared" si="9"/>
        <v>378</v>
      </c>
      <c r="R36">
        <f t="shared" si="4"/>
        <v>6221</v>
      </c>
      <c r="S36">
        <v>-984</v>
      </c>
      <c r="T36">
        <v>6</v>
      </c>
      <c r="U36">
        <f t="shared" si="10"/>
        <v>5243</v>
      </c>
    </row>
    <row r="37" spans="2:21" x14ac:dyDescent="0.2">
      <c r="B37" s="17" t="s">
        <v>34</v>
      </c>
      <c r="C37">
        <v>52774</v>
      </c>
      <c r="D37">
        <v>43371</v>
      </c>
      <c r="E37">
        <f t="shared" si="6"/>
        <v>96145</v>
      </c>
      <c r="F37">
        <v>57106</v>
      </c>
      <c r="G37" s="17">
        <v>14705</v>
      </c>
      <c r="H37">
        <v>10976</v>
      </c>
      <c r="I37">
        <v>5434</v>
      </c>
      <c r="J37">
        <v>1668</v>
      </c>
      <c r="K37">
        <v>62</v>
      </c>
      <c r="L37">
        <f t="shared" si="7"/>
        <v>89951</v>
      </c>
      <c r="M37">
        <f t="shared" si="8"/>
        <v>6194</v>
      </c>
      <c r="N37">
        <v>118</v>
      </c>
      <c r="O37">
        <v>-428</v>
      </c>
      <c r="P37">
        <v>925</v>
      </c>
      <c r="Q37">
        <f t="shared" si="9"/>
        <v>615</v>
      </c>
      <c r="R37">
        <f t="shared" si="4"/>
        <v>6809</v>
      </c>
      <c r="S37">
        <v>-569</v>
      </c>
      <c r="T37">
        <v>91</v>
      </c>
      <c r="U37">
        <f t="shared" si="10"/>
        <v>6331</v>
      </c>
    </row>
    <row r="38" spans="2:21" x14ac:dyDescent="0.2">
      <c r="B38" s="17" t="s">
        <v>35</v>
      </c>
      <c r="C38">
        <f>215915-SUM(C35:C37)</f>
        <v>71056</v>
      </c>
      <c r="D38">
        <f>170149-SUM(D35:D37)</f>
        <v>54499</v>
      </c>
      <c r="E38">
        <f t="shared" si="6"/>
        <v>125555</v>
      </c>
      <c r="F38">
        <f>233307-SUM(F35:F37)</f>
        <v>79284</v>
      </c>
      <c r="G38" s="17">
        <f>58517-SUM(G35:G37)</f>
        <v>18475</v>
      </c>
      <c r="H38">
        <f>42740-SUM(H35:H37)</f>
        <v>12051</v>
      </c>
      <c r="I38">
        <f>22008-SUM(I35:I37)</f>
        <v>7401</v>
      </c>
      <c r="J38">
        <f>6668-SUM(J35:J37)</f>
        <v>1968</v>
      </c>
      <c r="K38">
        <f>-75-SUM(K35:K37)</f>
        <v>-497</v>
      </c>
      <c r="L38">
        <f t="shared" si="7"/>
        <v>118682</v>
      </c>
      <c r="M38">
        <f t="shared" si="8"/>
        <v>6873</v>
      </c>
      <c r="N38">
        <f>555-SUM(N35:N37)</f>
        <v>100</v>
      </c>
      <c r="O38">
        <f>-1647-SUM(O35:O37)</f>
        <v>-414</v>
      </c>
      <c r="P38">
        <f>2371-SUM(P35:P37)</f>
        <v>1206</v>
      </c>
      <c r="Q38">
        <f t="shared" si="9"/>
        <v>892</v>
      </c>
      <c r="R38">
        <f t="shared" si="4"/>
        <v>7765</v>
      </c>
      <c r="S38">
        <f>-2863-SUM(S35:S37)</f>
        <v>-566</v>
      </c>
      <c r="T38">
        <f>16-SUM(T35:T37)</f>
        <v>23</v>
      </c>
      <c r="U38">
        <f t="shared" si="10"/>
        <v>7222</v>
      </c>
    </row>
    <row r="39" spans="2:21" x14ac:dyDescent="0.2">
      <c r="B39" s="17" t="s">
        <v>36</v>
      </c>
      <c r="C39">
        <v>57491</v>
      </c>
      <c r="D39">
        <v>51027</v>
      </c>
      <c r="E39">
        <f t="shared" si="6"/>
        <v>108518</v>
      </c>
      <c r="F39">
        <v>62403</v>
      </c>
      <c r="G39" s="17">
        <v>16530</v>
      </c>
      <c r="H39">
        <v>12488</v>
      </c>
      <c r="I39">
        <v>6207</v>
      </c>
      <c r="J39">
        <v>1987</v>
      </c>
      <c r="K39">
        <v>38</v>
      </c>
      <c r="L39">
        <f t="shared" si="7"/>
        <v>99653</v>
      </c>
      <c r="M39">
        <f t="shared" si="8"/>
        <v>8865</v>
      </c>
      <c r="N39">
        <v>105</v>
      </c>
      <c r="O39">
        <v>-399</v>
      </c>
      <c r="P39">
        <v>1697</v>
      </c>
      <c r="Q39">
        <f t="shared" si="9"/>
        <v>1403</v>
      </c>
      <c r="R39">
        <f t="shared" si="4"/>
        <v>10268</v>
      </c>
      <c r="S39">
        <v>-2156</v>
      </c>
      <c r="T39">
        <v>-5</v>
      </c>
      <c r="U39">
        <f t="shared" si="10"/>
        <v>8107</v>
      </c>
    </row>
    <row r="40" spans="2:21" x14ac:dyDescent="0.2">
      <c r="B40" s="17" t="s">
        <v>37</v>
      </c>
      <c r="C40">
        <v>58004</v>
      </c>
      <c r="D40">
        <v>55076</v>
      </c>
      <c r="E40">
        <f t="shared" si="6"/>
        <v>113080</v>
      </c>
      <c r="F40">
        <v>64176</v>
      </c>
      <c r="G40" s="17">
        <v>17638</v>
      </c>
      <c r="H40">
        <v>13871</v>
      </c>
      <c r="I40">
        <v>7524</v>
      </c>
      <c r="J40">
        <v>2158</v>
      </c>
      <c r="K40">
        <v>11</v>
      </c>
      <c r="L40">
        <f t="shared" si="7"/>
        <v>105378</v>
      </c>
      <c r="M40">
        <f t="shared" si="8"/>
        <v>7702</v>
      </c>
      <c r="N40">
        <v>106</v>
      </c>
      <c r="O40">
        <v>-435</v>
      </c>
      <c r="P40">
        <v>1261</v>
      </c>
      <c r="Q40">
        <f t="shared" si="9"/>
        <v>932</v>
      </c>
      <c r="R40">
        <f t="shared" si="4"/>
        <v>8634</v>
      </c>
      <c r="S40">
        <v>-868</v>
      </c>
      <c r="T40">
        <v>12</v>
      </c>
      <c r="U40">
        <f t="shared" si="10"/>
        <v>7778</v>
      </c>
    </row>
    <row r="41" spans="2:21" x14ac:dyDescent="0.2">
      <c r="B41" s="17" t="s">
        <v>38</v>
      </c>
      <c r="C41">
        <v>54876</v>
      </c>
      <c r="D41">
        <v>55936</v>
      </c>
      <c r="E41">
        <f t="shared" si="6"/>
        <v>110812</v>
      </c>
      <c r="F41">
        <v>62930</v>
      </c>
      <c r="G41" s="17">
        <v>18498</v>
      </c>
      <c r="H41">
        <v>14380</v>
      </c>
      <c r="I41">
        <v>8010</v>
      </c>
      <c r="J41">
        <v>2153</v>
      </c>
      <c r="K41">
        <v>-11</v>
      </c>
      <c r="L41">
        <f t="shared" si="7"/>
        <v>105960</v>
      </c>
      <c r="M41">
        <f t="shared" si="8"/>
        <v>4852</v>
      </c>
      <c r="N41">
        <v>119</v>
      </c>
      <c r="O41">
        <v>-493</v>
      </c>
      <c r="P41">
        <v>-163</v>
      </c>
      <c r="Q41">
        <f t="shared" si="9"/>
        <v>-537</v>
      </c>
      <c r="R41">
        <f t="shared" si="4"/>
        <v>4315</v>
      </c>
      <c r="S41">
        <v>-1155</v>
      </c>
      <c r="T41">
        <v>-4</v>
      </c>
      <c r="U41">
        <f t="shared" si="10"/>
        <v>3156</v>
      </c>
    </row>
    <row r="42" spans="2:21" x14ac:dyDescent="0.2">
      <c r="B42" s="17" t="s">
        <v>39</v>
      </c>
      <c r="C42">
        <f>241787-(C39+C40+C41)</f>
        <v>71416</v>
      </c>
      <c r="D42">
        <f>228035-(D39+D40+D41)</f>
        <v>65996</v>
      </c>
      <c r="E42">
        <f t="shared" si="6"/>
        <v>137412</v>
      </c>
      <c r="F42">
        <f>272344-(F39+F40+F41)</f>
        <v>82835</v>
      </c>
      <c r="G42" s="17">
        <f>75111-(G39+G40+G41)</f>
        <v>22445</v>
      </c>
      <c r="H42">
        <f>56052-(H39+H40+H41)</f>
        <v>15313</v>
      </c>
      <c r="I42">
        <f>32551-(I39+I40+I41)</f>
        <v>10810</v>
      </c>
      <c r="J42">
        <f>8823-(J39+J40+J41)</f>
        <v>2525</v>
      </c>
      <c r="K42">
        <f>62-(K39+K40+K41)</f>
        <v>24</v>
      </c>
      <c r="L42">
        <f t="shared" si="7"/>
        <v>133952</v>
      </c>
      <c r="M42">
        <f t="shared" si="8"/>
        <v>3460</v>
      </c>
      <c r="N42">
        <f>448-(N39+N40+N41)</f>
        <v>118</v>
      </c>
      <c r="O42">
        <f>-1809-(O39+O40+O41)</f>
        <v>-482</v>
      </c>
      <c r="P42">
        <f>14633-(P39+P40+P41)</f>
        <v>11838</v>
      </c>
      <c r="Q42">
        <f t="shared" si="9"/>
        <v>11474</v>
      </c>
      <c r="R42">
        <f t="shared" si="4"/>
        <v>14934</v>
      </c>
      <c r="S42">
        <f>-4791-(S39+S40+S41)</f>
        <v>-612</v>
      </c>
      <c r="T42">
        <f>4-(T39+T40+T41)</f>
        <v>1</v>
      </c>
      <c r="U42">
        <f t="shared" si="10"/>
        <v>14323</v>
      </c>
    </row>
    <row r="43" spans="2:21" x14ac:dyDescent="0.2">
      <c r="B43" s="17" t="s">
        <v>40</v>
      </c>
      <c r="C43">
        <v>56455</v>
      </c>
      <c r="D43">
        <v>59989</v>
      </c>
      <c r="E43">
        <f t="shared" si="6"/>
        <v>116444</v>
      </c>
      <c r="F43">
        <v>66499</v>
      </c>
      <c r="G43" s="17">
        <v>20271</v>
      </c>
      <c r="H43">
        <v>14842</v>
      </c>
      <c r="I43">
        <v>8320</v>
      </c>
      <c r="J43">
        <v>2594</v>
      </c>
      <c r="K43">
        <v>249</v>
      </c>
      <c r="L43">
        <f t="shared" si="7"/>
        <v>112775</v>
      </c>
      <c r="M43">
        <f t="shared" si="8"/>
        <v>3669</v>
      </c>
      <c r="N43">
        <v>108</v>
      </c>
      <c r="O43">
        <v>-472</v>
      </c>
      <c r="P43">
        <v>-8570</v>
      </c>
      <c r="Q43">
        <f t="shared" si="9"/>
        <v>-8934</v>
      </c>
      <c r="R43">
        <f t="shared" si="4"/>
        <v>-5265</v>
      </c>
      <c r="S43">
        <v>1422</v>
      </c>
      <c r="T43">
        <v>-1</v>
      </c>
      <c r="U43">
        <f t="shared" si="10"/>
        <v>-3844</v>
      </c>
    </row>
    <row r="44" spans="2:21" x14ac:dyDescent="0.2">
      <c r="B44" s="17" t="s">
        <v>41</v>
      </c>
      <c r="C44">
        <v>56575</v>
      </c>
      <c r="D44">
        <v>64659</v>
      </c>
      <c r="E44">
        <f t="shared" si="6"/>
        <v>121234</v>
      </c>
      <c r="F44">
        <v>66424</v>
      </c>
      <c r="G44" s="17">
        <v>20342</v>
      </c>
      <c r="H44">
        <v>18072</v>
      </c>
      <c r="I44">
        <v>10086</v>
      </c>
      <c r="J44">
        <v>2903</v>
      </c>
      <c r="K44">
        <v>90</v>
      </c>
      <c r="L44">
        <f t="shared" si="7"/>
        <v>117917</v>
      </c>
      <c r="M44">
        <f t="shared" si="8"/>
        <v>3317</v>
      </c>
      <c r="N44">
        <v>159</v>
      </c>
      <c r="O44">
        <v>-584</v>
      </c>
      <c r="P44">
        <v>-5545</v>
      </c>
      <c r="Q44">
        <f t="shared" si="9"/>
        <v>-5970</v>
      </c>
      <c r="R44">
        <f t="shared" si="4"/>
        <v>-2653</v>
      </c>
      <c r="S44">
        <v>637</v>
      </c>
      <c r="T44">
        <v>-12</v>
      </c>
      <c r="U44">
        <f t="shared" si="10"/>
        <v>-2028</v>
      </c>
    </row>
    <row r="45" spans="2:21" x14ac:dyDescent="0.2">
      <c r="B45" s="17" t="s">
        <v>42</v>
      </c>
      <c r="C45">
        <v>59340</v>
      </c>
      <c r="D45">
        <v>67761</v>
      </c>
      <c r="E45">
        <f t="shared" si="6"/>
        <v>127101</v>
      </c>
      <c r="F45">
        <v>70268</v>
      </c>
      <c r="G45" s="17">
        <v>20583</v>
      </c>
      <c r="H45">
        <v>19485</v>
      </c>
      <c r="I45">
        <v>11014</v>
      </c>
      <c r="J45">
        <v>3061</v>
      </c>
      <c r="K45">
        <v>165</v>
      </c>
      <c r="L45">
        <f t="shared" si="7"/>
        <v>124576</v>
      </c>
      <c r="M45">
        <f t="shared" si="8"/>
        <v>2525</v>
      </c>
      <c r="N45">
        <v>277</v>
      </c>
      <c r="O45">
        <v>-617</v>
      </c>
      <c r="P45">
        <v>759</v>
      </c>
      <c r="Q45">
        <f t="shared" si="9"/>
        <v>419</v>
      </c>
      <c r="R45">
        <f t="shared" si="4"/>
        <v>2944</v>
      </c>
      <c r="S45">
        <v>-69</v>
      </c>
      <c r="T45">
        <v>-3</v>
      </c>
      <c r="U45">
        <f t="shared" si="10"/>
        <v>2872</v>
      </c>
    </row>
    <row r="46" spans="2:21" x14ac:dyDescent="0.2">
      <c r="B46" s="17" t="s">
        <v>43</v>
      </c>
      <c r="C46">
        <f>242901-SUM(C43:C45)</f>
        <v>70531</v>
      </c>
      <c r="D46">
        <f>271082-SUM(D43:D45)</f>
        <v>78673</v>
      </c>
      <c r="E46">
        <f t="shared" si="6"/>
        <v>149204</v>
      </c>
      <c r="F46">
        <f>288831-SUM(F43:F45)</f>
        <v>85640</v>
      </c>
      <c r="G46" s="17">
        <f>84299-SUM(G43:G45)</f>
        <v>23103</v>
      </c>
      <c r="H46">
        <f>73213-SUM(H43:H45)</f>
        <v>20814</v>
      </c>
      <c r="I46">
        <f>42238-SUM(I43:I45)</f>
        <v>12818</v>
      </c>
      <c r="J46">
        <f>11891-SUM(J43:J45)</f>
        <v>3333</v>
      </c>
      <c r="K46">
        <f>1263-SUM(K43:K45)</f>
        <v>759</v>
      </c>
      <c r="L46">
        <f t="shared" si="7"/>
        <v>146467</v>
      </c>
      <c r="M46">
        <f t="shared" si="8"/>
        <v>2737</v>
      </c>
      <c r="N46">
        <f>989-SUM(N43:N45)</f>
        <v>445</v>
      </c>
      <c r="O46">
        <f>-2367-SUM(O43:O45)</f>
        <v>-694</v>
      </c>
      <c r="P46">
        <f>-16806-SUM(P43:P45)</f>
        <v>-3450</v>
      </c>
      <c r="Q46">
        <f t="shared" si="9"/>
        <v>-3699</v>
      </c>
      <c r="R46">
        <f t="shared" si="4"/>
        <v>-962</v>
      </c>
      <c r="S46">
        <f>3217-SUM(S43:S45)</f>
        <v>1227</v>
      </c>
      <c r="T46">
        <f>-3-SUM(T43:T45)</f>
        <v>13</v>
      </c>
      <c r="U46">
        <f t="shared" si="10"/>
        <v>278</v>
      </c>
    </row>
    <row r="47" spans="2:21" x14ac:dyDescent="0.2">
      <c r="B47" s="17" t="s">
        <v>44</v>
      </c>
      <c r="C47">
        <v>56981</v>
      </c>
      <c r="D47">
        <v>70377</v>
      </c>
      <c r="E47">
        <f t="shared" si="6"/>
        <v>127358</v>
      </c>
      <c r="F47">
        <v>67791</v>
      </c>
      <c r="G47" s="17">
        <v>20905</v>
      </c>
      <c r="H47">
        <v>20450</v>
      </c>
      <c r="I47">
        <v>10172</v>
      </c>
      <c r="J47">
        <v>3043</v>
      </c>
      <c r="K47">
        <v>223</v>
      </c>
      <c r="L47">
        <f t="shared" si="7"/>
        <v>122584</v>
      </c>
      <c r="M47">
        <f t="shared" si="8"/>
        <v>4774</v>
      </c>
      <c r="N47">
        <v>611</v>
      </c>
      <c r="O47">
        <v>-823</v>
      </c>
      <c r="P47">
        <v>-443</v>
      </c>
      <c r="Q47">
        <f t="shared" si="9"/>
        <v>-655</v>
      </c>
      <c r="R47">
        <f t="shared" si="4"/>
        <v>4119</v>
      </c>
      <c r="S47">
        <v>-948</v>
      </c>
      <c r="T47">
        <v>1</v>
      </c>
      <c r="U47">
        <f t="shared" si="10"/>
        <v>3172</v>
      </c>
    </row>
    <row r="48" spans="2:21" x14ac:dyDescent="0.2">
      <c r="B48" s="17" t="s">
        <v>45</v>
      </c>
      <c r="C48">
        <v>59032</v>
      </c>
      <c r="D48">
        <v>75351</v>
      </c>
      <c r="E48">
        <f t="shared" si="6"/>
        <v>134383</v>
      </c>
      <c r="F48">
        <v>69373</v>
      </c>
      <c r="G48" s="17">
        <v>21305</v>
      </c>
      <c r="H48">
        <v>21931</v>
      </c>
      <c r="I48">
        <v>10745</v>
      </c>
      <c r="J48">
        <v>3202</v>
      </c>
      <c r="K48">
        <v>146</v>
      </c>
      <c r="L48">
        <f t="shared" si="7"/>
        <v>126702</v>
      </c>
      <c r="M48">
        <f t="shared" si="8"/>
        <v>7681</v>
      </c>
      <c r="N48">
        <v>661</v>
      </c>
      <c r="O48">
        <v>-840</v>
      </c>
      <c r="P48">
        <v>61</v>
      </c>
      <c r="Q48">
        <f t="shared" si="9"/>
        <v>-118</v>
      </c>
      <c r="R48">
        <f t="shared" si="4"/>
        <v>7563</v>
      </c>
      <c r="S48">
        <v>-804</v>
      </c>
      <c r="T48">
        <v>-9</v>
      </c>
      <c r="U48">
        <f t="shared" si="10"/>
        <v>6750</v>
      </c>
    </row>
    <row r="49" spans="2:21" x14ac:dyDescent="0.2">
      <c r="B49" s="17" t="s">
        <v>46</v>
      </c>
      <c r="C49">
        <v>63171</v>
      </c>
      <c r="D49">
        <v>79912</v>
      </c>
      <c r="E49">
        <f t="shared" si="6"/>
        <v>143083</v>
      </c>
      <c r="F49">
        <v>75022</v>
      </c>
      <c r="G49" s="17">
        <v>22314</v>
      </c>
      <c r="H49">
        <v>21203</v>
      </c>
      <c r="I49">
        <v>10551</v>
      </c>
      <c r="J49">
        <v>2561</v>
      </c>
      <c r="K49">
        <v>244</v>
      </c>
      <c r="L49">
        <f t="shared" si="7"/>
        <v>131895</v>
      </c>
      <c r="M49">
        <f t="shared" si="8"/>
        <v>11188</v>
      </c>
      <c r="N49">
        <v>776</v>
      </c>
      <c r="O49">
        <v>-806</v>
      </c>
      <c r="P49">
        <v>1031</v>
      </c>
      <c r="Q49">
        <f t="shared" si="9"/>
        <v>1001</v>
      </c>
      <c r="R49">
        <v>12189</v>
      </c>
      <c r="S49">
        <v>-2306</v>
      </c>
      <c r="T49">
        <v>-4</v>
      </c>
      <c r="U49">
        <f t="shared" si="10"/>
        <v>9879</v>
      </c>
    </row>
    <row r="50" spans="2:21" x14ac:dyDescent="0.2">
      <c r="B50" s="17" t="s">
        <v>47</v>
      </c>
      <c r="C50">
        <f>255887-(C47+C48+C49)</f>
        <v>76703</v>
      </c>
      <c r="D50">
        <f>318898-(D47+D48+D49)</f>
        <v>93258</v>
      </c>
      <c r="E50">
        <f t="shared" si="6"/>
        <v>169961</v>
      </c>
      <c r="F50">
        <f>304739-(F47+F48+F49)</f>
        <v>92553</v>
      </c>
      <c r="G50" s="17">
        <f>90619-(G47+G48+G49)</f>
        <v>26095</v>
      </c>
      <c r="H50">
        <f>85622-(H47+H48+H49)</f>
        <v>22038</v>
      </c>
      <c r="I50">
        <f>44370-(I47+I48+I49)</f>
        <v>12902</v>
      </c>
      <c r="J50">
        <f>11816-(J47+J48+J49)</f>
        <v>3010</v>
      </c>
      <c r="K50">
        <f>767-(K47+K48+K49)</f>
        <v>154</v>
      </c>
      <c r="L50">
        <f t="shared" si="7"/>
        <v>156752</v>
      </c>
      <c r="M50">
        <f t="shared" si="8"/>
        <v>13209</v>
      </c>
      <c r="N50">
        <f>2949-(N47+N48+N49)</f>
        <v>901</v>
      </c>
      <c r="O50">
        <f>-3182-(O47+O48+O49)</f>
        <v>-713</v>
      </c>
      <c r="P50">
        <f>938-(P47+P48+P49)</f>
        <v>289</v>
      </c>
      <c r="Q50">
        <f t="shared" si="9"/>
        <v>477</v>
      </c>
      <c r="R50">
        <f>SUMPRODUCT(M50:P50)</f>
        <v>13686</v>
      </c>
      <c r="S50">
        <f>-7120-(S47+S48+S49)</f>
        <v>-3062</v>
      </c>
      <c r="T50">
        <f>-12-(T47+T48+T49)</f>
        <v>0</v>
      </c>
      <c r="U50">
        <f t="shared" si="10"/>
        <v>10624</v>
      </c>
    </row>
    <row r="51" spans="2:21" x14ac:dyDescent="0.2">
      <c r="B51" s="17" t="s">
        <v>48</v>
      </c>
      <c r="C51">
        <v>60915</v>
      </c>
      <c r="D51">
        <v>82398</v>
      </c>
      <c r="E51">
        <f t="shared" si="6"/>
        <v>143313</v>
      </c>
      <c r="F51">
        <v>72633</v>
      </c>
      <c r="G51" s="17">
        <v>22317</v>
      </c>
      <c r="H51">
        <v>20424</v>
      </c>
      <c r="I51">
        <v>9662</v>
      </c>
      <c r="J51">
        <v>2742</v>
      </c>
      <c r="K51">
        <v>228</v>
      </c>
      <c r="L51">
        <f t="shared" si="7"/>
        <v>128006</v>
      </c>
      <c r="M51">
        <f t="shared" si="8"/>
        <v>15307</v>
      </c>
      <c r="N51">
        <v>993</v>
      </c>
      <c r="O51">
        <v>-644</v>
      </c>
      <c r="P51">
        <v>-2673</v>
      </c>
      <c r="Q51">
        <f t="shared" si="9"/>
        <v>-2324</v>
      </c>
      <c r="R51">
        <f>SUMPRODUCT(M51:P51)</f>
        <v>12983</v>
      </c>
      <c r="S51">
        <v>-2467</v>
      </c>
      <c r="T51">
        <v>-85</v>
      </c>
      <c r="U51">
        <f t="shared" si="10"/>
        <v>10431</v>
      </c>
    </row>
    <row r="52" spans="2:21" x14ac:dyDescent="0.2">
      <c r="B52" s="17" t="s">
        <v>49</v>
      </c>
      <c r="C52">
        <v>61569</v>
      </c>
      <c r="D52">
        <v>86408</v>
      </c>
      <c r="E52">
        <f t="shared" si="6"/>
        <v>147977</v>
      </c>
      <c r="F52">
        <v>73785</v>
      </c>
      <c r="G52" s="17">
        <v>23566</v>
      </c>
      <c r="H52">
        <v>22304</v>
      </c>
      <c r="I52">
        <v>10512</v>
      </c>
      <c r="J52">
        <v>3041</v>
      </c>
      <c r="K52">
        <v>97</v>
      </c>
      <c r="L52">
        <f t="shared" si="7"/>
        <v>133305</v>
      </c>
      <c r="M52">
        <f t="shared" si="8"/>
        <v>14672</v>
      </c>
      <c r="N52">
        <v>1180</v>
      </c>
      <c r="O52">
        <v>-589</v>
      </c>
      <c r="P52">
        <v>-18</v>
      </c>
      <c r="Q52">
        <f t="shared" si="9"/>
        <v>573</v>
      </c>
      <c r="R52">
        <f>SUMPRODUCT(M52:P52)</f>
        <v>15245</v>
      </c>
      <c r="S52">
        <v>-1767</v>
      </c>
      <c r="T52">
        <v>7</v>
      </c>
      <c r="U52">
        <f t="shared" si="10"/>
        <v>13485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189B-2EAA-3C42-A955-2CEF9F549BA2}">
  <dimension ref="A1:BC57"/>
  <sheetViews>
    <sheetView tabSelected="1" topLeftCell="AL1" zoomScaleNormal="100" workbookViewId="0">
      <selection activeCell="N54" sqref="N54"/>
    </sheetView>
  </sheetViews>
  <sheetFormatPr baseColWidth="10" defaultRowHeight="15" x14ac:dyDescent="0.2"/>
  <cols>
    <col min="1" max="1" width="6.1640625" style="2" customWidth="1"/>
    <col min="3" max="3" width="2.83203125" style="27" customWidth="1"/>
    <col min="4" max="4" width="14.83203125" style="4" customWidth="1"/>
    <col min="5" max="5" width="11" style="4" customWidth="1"/>
    <col min="6" max="6" width="11.6640625" style="4" customWidth="1"/>
    <col min="7" max="7" width="2.83203125" style="27" customWidth="1"/>
    <col min="8" max="8" width="16.1640625" style="4" customWidth="1"/>
    <col min="9" max="10" width="10.83203125" style="4"/>
    <col min="11" max="11" width="2.83203125" style="27" customWidth="1"/>
    <col min="12" max="12" width="16.1640625" style="4" customWidth="1"/>
    <col min="13" max="14" width="10.83203125" style="4"/>
    <col min="15" max="15" width="2.83203125" style="27" customWidth="1"/>
    <col min="16" max="16" width="15.83203125" style="4" customWidth="1"/>
    <col min="17" max="17" width="10.83203125" style="4"/>
    <col min="18" max="18" width="11" style="4" customWidth="1"/>
    <col min="19" max="20" width="11" customWidth="1"/>
    <col min="21" max="21" width="2.83203125" style="27" customWidth="1"/>
    <col min="22" max="22" width="23" customWidth="1"/>
    <col min="25" max="25" width="26.33203125" customWidth="1"/>
    <col min="41" max="42" width="10.83203125" style="5"/>
  </cols>
  <sheetData>
    <row r="1" spans="1:55" ht="15" customHeight="1" x14ac:dyDescent="0.2">
      <c r="A1" s="44"/>
      <c r="B1" s="27"/>
      <c r="D1" s="61" t="s">
        <v>81</v>
      </c>
      <c r="E1" s="62" t="s">
        <v>83</v>
      </c>
      <c r="F1" s="63" t="s">
        <v>83</v>
      </c>
      <c r="H1" s="61" t="s">
        <v>81</v>
      </c>
      <c r="I1" s="62" t="s">
        <v>83</v>
      </c>
      <c r="J1" s="63" t="s">
        <v>83</v>
      </c>
      <c r="L1" s="61" t="s">
        <v>81</v>
      </c>
      <c r="M1" s="62" t="s">
        <v>83</v>
      </c>
      <c r="N1" s="63" t="s">
        <v>83</v>
      </c>
      <c r="P1" s="61" t="s">
        <v>88</v>
      </c>
      <c r="Q1" s="62" t="s">
        <v>83</v>
      </c>
      <c r="R1" s="62" t="s">
        <v>83</v>
      </c>
      <c r="S1" s="68" t="s">
        <v>90</v>
      </c>
      <c r="T1" s="69"/>
      <c r="V1" s="61" t="s">
        <v>94</v>
      </c>
      <c r="W1" s="62" t="s">
        <v>83</v>
      </c>
      <c r="X1" s="62" t="s">
        <v>83</v>
      </c>
      <c r="Y1" s="68" t="s">
        <v>96</v>
      </c>
      <c r="Z1" s="76"/>
    </row>
    <row r="2" spans="1:55" ht="15" customHeight="1" thickBot="1" x14ac:dyDescent="0.25">
      <c r="A2" s="44"/>
      <c r="B2" s="27"/>
      <c r="D2" s="64" t="s">
        <v>82</v>
      </c>
      <c r="E2" s="23" t="s">
        <v>124</v>
      </c>
      <c r="F2" s="65" t="s">
        <v>125</v>
      </c>
      <c r="H2" s="64" t="s">
        <v>86</v>
      </c>
      <c r="I2" s="23" t="s">
        <v>84</v>
      </c>
      <c r="J2" s="65" t="s">
        <v>85</v>
      </c>
      <c r="K2" s="43"/>
      <c r="L2" s="66" t="s">
        <v>87</v>
      </c>
      <c r="M2" s="20" t="s">
        <v>84</v>
      </c>
      <c r="N2" s="67" t="s">
        <v>85</v>
      </c>
      <c r="O2" s="43"/>
      <c r="P2" s="99" t="s">
        <v>89</v>
      </c>
      <c r="Q2" s="100" t="s">
        <v>84</v>
      </c>
      <c r="R2" s="100" t="s">
        <v>85</v>
      </c>
      <c r="S2" s="41" t="s">
        <v>91</v>
      </c>
      <c r="T2" s="70">
        <v>0.70405093751257208</v>
      </c>
      <c r="V2" s="77" t="s">
        <v>95</v>
      </c>
      <c r="W2" s="24" t="s">
        <v>84</v>
      </c>
      <c r="X2" s="24" t="s">
        <v>85</v>
      </c>
      <c r="Y2" s="78" t="s">
        <v>97</v>
      </c>
      <c r="Z2" s="72">
        <v>0.15</v>
      </c>
    </row>
    <row r="3" spans="1:55" x14ac:dyDescent="0.2">
      <c r="A3" s="52" t="s">
        <v>80</v>
      </c>
      <c r="B3" s="53" t="s">
        <v>54</v>
      </c>
      <c r="D3" s="55"/>
      <c r="E3" s="4">
        <f>AVERAGE(E4:E53)</f>
        <v>1034.4791666666667</v>
      </c>
      <c r="F3" s="56">
        <f>AVERAGE(F6:F53)^0.5</f>
        <v>12002.274287956152</v>
      </c>
      <c r="H3" s="55"/>
      <c r="I3" s="4">
        <f>AVERAGE(I4:I53)</f>
        <v>1045.3900709219856</v>
      </c>
      <c r="J3" s="56">
        <f>AVERAGE(J4:J53)^0.5</f>
        <v>1677.8449943481376</v>
      </c>
      <c r="L3" s="55"/>
      <c r="M3" s="4">
        <f>AVERAGE(M4:M53)</f>
        <v>1207.6630434782608</v>
      </c>
      <c r="N3" s="56">
        <f>AVERAGE(N4:N53)^0.5</f>
        <v>1759.2317346488644</v>
      </c>
      <c r="P3" s="55"/>
      <c r="Q3" s="4">
        <f>AVERAGE(Q4:Q53)</f>
        <v>1061.7858953161608</v>
      </c>
      <c r="R3" s="71">
        <f>AVERAGE(R4:R53)^0.5</f>
        <v>1517.4161471257628</v>
      </c>
      <c r="S3" s="41" t="s">
        <v>92</v>
      </c>
      <c r="T3" s="70">
        <v>0.29594906248742781</v>
      </c>
      <c r="V3" s="9"/>
      <c r="W3">
        <f>AVERAGE(W4:W53)</f>
        <v>2647.8082839456683</v>
      </c>
      <c r="X3" s="25">
        <f>AVERAGE(X4:X53)^0.5</f>
        <v>3383.2365901564503</v>
      </c>
      <c r="Z3" s="10"/>
      <c r="AB3" s="29" t="s">
        <v>98</v>
      </c>
      <c r="AC3" s="30"/>
      <c r="AD3" s="30"/>
      <c r="AE3" s="30"/>
      <c r="AF3" s="30"/>
      <c r="AG3" s="30"/>
      <c r="AH3" s="30"/>
      <c r="AI3" s="30"/>
      <c r="AJ3" s="31"/>
      <c r="AL3" s="21" t="s">
        <v>79</v>
      </c>
      <c r="AM3" s="22" t="s">
        <v>129</v>
      </c>
      <c r="AO3" s="79" t="s">
        <v>79</v>
      </c>
      <c r="AP3" s="79" t="s">
        <v>134</v>
      </c>
      <c r="AQ3" s="80" t="s">
        <v>80</v>
      </c>
      <c r="AR3" s="81" t="s">
        <v>54</v>
      </c>
      <c r="AS3" s="75" t="s">
        <v>126</v>
      </c>
      <c r="AT3" s="75" t="s">
        <v>127</v>
      </c>
      <c r="AU3" s="75" t="s">
        <v>128</v>
      </c>
      <c r="AV3" s="75" t="s">
        <v>129</v>
      </c>
      <c r="AW3" s="75" t="s">
        <v>135</v>
      </c>
      <c r="AX3" s="75" t="s">
        <v>136</v>
      </c>
      <c r="AY3" s="82" t="s">
        <v>137</v>
      </c>
      <c r="AZ3" s="51" t="s">
        <v>150</v>
      </c>
      <c r="BA3" s="49"/>
      <c r="BB3" s="49"/>
      <c r="BC3" s="49"/>
    </row>
    <row r="4" spans="1:55" ht="16" thickBot="1" x14ac:dyDescent="0.25">
      <c r="A4" s="54">
        <v>1</v>
      </c>
      <c r="B4" s="10">
        <v>1295</v>
      </c>
      <c r="D4" s="55"/>
      <c r="F4" s="57"/>
      <c r="H4" s="55"/>
      <c r="J4" s="57"/>
      <c r="L4" s="55"/>
      <c r="N4" s="57"/>
      <c r="P4" s="55"/>
      <c r="R4" s="19" t="s">
        <v>146</v>
      </c>
      <c r="S4" s="41" t="s">
        <v>93</v>
      </c>
      <c r="T4" s="70">
        <v>0</v>
      </c>
      <c r="V4" s="9">
        <f>B4</f>
        <v>1295</v>
      </c>
      <c r="W4">
        <f t="shared" ref="W4:W35" si="0">ABS(B4-V4)</f>
        <v>0</v>
      </c>
      <c r="X4">
        <f t="shared" ref="X4:X35" si="1">(B4-V4)^2</f>
        <v>0</v>
      </c>
      <c r="Z4" s="10"/>
      <c r="AB4" s="26"/>
      <c r="AC4" s="27"/>
      <c r="AD4" s="27"/>
      <c r="AE4" s="27"/>
      <c r="AF4" s="27"/>
      <c r="AG4" s="27"/>
      <c r="AH4" s="27"/>
      <c r="AI4" s="27"/>
      <c r="AJ4" s="28"/>
      <c r="AL4" s="9" t="s">
        <v>130</v>
      </c>
      <c r="AM4" s="10">
        <f>AVERAGEIF($AO$6:$AO$52,AL4,$AU$6:$AU$52)</f>
        <v>0.94240102045102947</v>
      </c>
      <c r="AO4" s="45" t="s">
        <v>130</v>
      </c>
      <c r="AP4" s="45">
        <v>2012</v>
      </c>
      <c r="AQ4" s="2">
        <v>1</v>
      </c>
      <c r="AR4" s="17">
        <v>1295</v>
      </c>
      <c r="AV4">
        <f>VLOOKUP(AO4,$AL$4:$AM$7,2,FALSE)</f>
        <v>0.94240102045102947</v>
      </c>
      <c r="AW4">
        <f>AR4/AV4</f>
        <v>1374.1496156065473</v>
      </c>
      <c r="AX4">
        <f>$AC$19+$AC$20*AQ4</f>
        <v>-2533.0682352941189</v>
      </c>
      <c r="AY4">
        <f>AV4*AX4</f>
        <v>-2387.1660898132659</v>
      </c>
    </row>
    <row r="5" spans="1:55" x14ac:dyDescent="0.2">
      <c r="A5" s="54">
        <f>A4+1</f>
        <v>2</v>
      </c>
      <c r="B5" s="10">
        <v>1356</v>
      </c>
      <c r="D5" s="55"/>
      <c r="F5" s="57"/>
      <c r="H5" s="55"/>
      <c r="J5" s="57"/>
      <c r="L5" s="55"/>
      <c r="N5" s="57"/>
      <c r="P5" s="55"/>
      <c r="T5" s="73">
        <f>SUM(T2:T4)</f>
        <v>0.99999999999999989</v>
      </c>
      <c r="V5" s="9">
        <f t="shared" ref="V5:V36" si="2">$Z$2*B4+(1-$Z$2)*V4</f>
        <v>1295</v>
      </c>
      <c r="W5">
        <f t="shared" si="0"/>
        <v>61</v>
      </c>
      <c r="X5">
        <f t="shared" si="1"/>
        <v>3721</v>
      </c>
      <c r="Z5" s="10"/>
      <c r="AB5" s="112" t="s">
        <v>99</v>
      </c>
      <c r="AC5" s="113"/>
      <c r="AD5" s="27"/>
      <c r="AE5" s="27"/>
      <c r="AF5" s="27"/>
      <c r="AG5" s="27"/>
      <c r="AH5" s="27"/>
      <c r="AI5" s="27"/>
      <c r="AJ5" s="28"/>
      <c r="AL5" s="9" t="s">
        <v>131</v>
      </c>
      <c r="AM5" s="10">
        <f t="shared" ref="AM5:AM7" si="3">AVERAGEIF($AO$6:$AO$52,AL5,$AU$6:$AU$52)</f>
        <v>0.93250357690448427</v>
      </c>
      <c r="AO5" s="45" t="s">
        <v>131</v>
      </c>
      <c r="AP5" s="45">
        <v>2012</v>
      </c>
      <c r="AQ5" s="2">
        <f>AQ4+1</f>
        <v>2</v>
      </c>
      <c r="AR5" s="17">
        <v>1356</v>
      </c>
      <c r="AV5">
        <f t="shared" ref="AV5:AV54" si="4">VLOOKUP(AO5,$AL$4:$AM$7,2,FALSE)</f>
        <v>0.93250357690448427</v>
      </c>
      <c r="AW5">
        <f t="shared" ref="AW5:AW52" si="5">AR5/AV5</f>
        <v>1454.1499181175732</v>
      </c>
      <c r="AX5">
        <f>$AC$19+$AC$20*AQ5</f>
        <v>-2012.7503481392571</v>
      </c>
      <c r="AY5">
        <f t="shared" ref="AY5:AY52" si="6">AV5*AX5</f>
        <v>-1876.8968990556032</v>
      </c>
    </row>
    <row r="6" spans="1:55" x14ac:dyDescent="0.2">
      <c r="A6" s="54">
        <f t="shared" ref="A6:A53" si="7">A5+1</f>
        <v>3</v>
      </c>
      <c r="B6" s="10">
        <v>1510</v>
      </c>
      <c r="D6" s="55">
        <f>AVERAGE(B4:B5)</f>
        <v>1325.5</v>
      </c>
      <c r="E6" s="4">
        <f>ABS(B6-D6)</f>
        <v>184.5</v>
      </c>
      <c r="F6" s="57">
        <f>(B6-E6)^2</f>
        <v>1756950.25</v>
      </c>
      <c r="H6" s="55"/>
      <c r="J6" s="57"/>
      <c r="L6" s="55"/>
      <c r="N6" s="57"/>
      <c r="P6" s="55"/>
      <c r="T6" s="10"/>
      <c r="V6" s="9">
        <f t="shared" si="2"/>
        <v>1304.1500000000001</v>
      </c>
      <c r="W6">
        <f t="shared" si="0"/>
        <v>205.84999999999991</v>
      </c>
      <c r="X6">
        <f t="shared" si="1"/>
        <v>42374.22249999996</v>
      </c>
      <c r="Z6" s="10"/>
      <c r="AB6" s="26" t="s">
        <v>100</v>
      </c>
      <c r="AC6" s="27">
        <v>0.95953410497806824</v>
      </c>
      <c r="AD6" s="27"/>
      <c r="AE6" s="27"/>
      <c r="AF6" s="27"/>
      <c r="AG6" s="27"/>
      <c r="AH6" s="27"/>
      <c r="AI6" s="27"/>
      <c r="AJ6" s="28"/>
      <c r="AL6" s="9" t="s">
        <v>132</v>
      </c>
      <c r="AM6" s="10">
        <f t="shared" si="3"/>
        <v>1.0362141742586009</v>
      </c>
      <c r="AO6" s="45" t="s">
        <v>132</v>
      </c>
      <c r="AP6" s="45">
        <v>2012</v>
      </c>
      <c r="AQ6" s="2">
        <f t="shared" ref="AQ6:AQ54" si="8">AQ5+1</f>
        <v>3</v>
      </c>
      <c r="AR6" s="17">
        <v>1510</v>
      </c>
      <c r="AS6">
        <f>AVERAGE(AR4:AR7)</f>
        <v>1604.75</v>
      </c>
      <c r="AT6">
        <f>AVERAGE(AS6:AS7)</f>
        <v>1667.375</v>
      </c>
      <c r="AU6">
        <f>AR6/AT6</f>
        <v>0.90561511357672986</v>
      </c>
      <c r="AV6">
        <f t="shared" si="4"/>
        <v>1.0362141742586009</v>
      </c>
      <c r="AW6">
        <f t="shared" si="5"/>
        <v>1457.227702063029</v>
      </c>
      <c r="AX6">
        <f t="shared" ref="AX6:AX51" si="9">$AC$19+$AC$20*AQ6</f>
        <v>-1492.4324609843952</v>
      </c>
      <c r="AY6">
        <f t="shared" si="6"/>
        <v>-1546.4796701956766</v>
      </c>
    </row>
    <row r="7" spans="1:55" x14ac:dyDescent="0.2">
      <c r="A7" s="54">
        <f t="shared" si="7"/>
        <v>4</v>
      </c>
      <c r="B7" s="10">
        <f>6419-SUM(B4:B6)</f>
        <v>2258</v>
      </c>
      <c r="D7" s="55">
        <f t="shared" ref="D7:D53" si="10">AVERAGE(B5:B6)</f>
        <v>1433</v>
      </c>
      <c r="E7" s="4">
        <f t="shared" ref="E7:E53" si="11">ABS(B7-D7)</f>
        <v>825</v>
      </c>
      <c r="F7" s="57">
        <f t="shared" ref="F7:F53" si="12">(B7-E7)^2</f>
        <v>2053489</v>
      </c>
      <c r="H7" s="55">
        <f t="shared" ref="H7:H53" si="13">AVERAGE(B4:B6)</f>
        <v>1387</v>
      </c>
      <c r="I7" s="4">
        <f t="shared" ref="I7:I53" si="14">ABS(B7-H7)</f>
        <v>871</v>
      </c>
      <c r="J7" s="57">
        <f>(B7-H7)^2</f>
        <v>758641</v>
      </c>
      <c r="L7" s="55"/>
      <c r="N7" s="57"/>
      <c r="P7" s="55">
        <f t="shared" ref="P7:P54" si="15">B6*$T$2+B5*$T$3+B4*$T$4</f>
        <v>1464.4238443769359</v>
      </c>
      <c r="Q7" s="4">
        <f t="shared" ref="Q7:Q53" si="16">ABS(B7-P7)</f>
        <v>793.5761556230641</v>
      </c>
      <c r="R7" s="4">
        <f t="shared" ref="R7:R53" si="17">(B7-P7)^2</f>
        <v>629763.11477348162</v>
      </c>
      <c r="T7" s="10"/>
      <c r="V7" s="9">
        <f t="shared" si="2"/>
        <v>1335.0275000000001</v>
      </c>
      <c r="W7">
        <f t="shared" si="0"/>
        <v>922.97249999999985</v>
      </c>
      <c r="X7">
        <f t="shared" si="1"/>
        <v>851878.23575624975</v>
      </c>
      <c r="Z7" s="10"/>
      <c r="AB7" s="114" t="s">
        <v>101</v>
      </c>
      <c r="AC7" s="17">
        <v>0.92070569861606244</v>
      </c>
      <c r="AD7" s="27"/>
      <c r="AE7" s="27" t="s">
        <v>123</v>
      </c>
      <c r="AF7" s="27"/>
      <c r="AG7" s="27"/>
      <c r="AH7" s="27"/>
      <c r="AI7" s="27"/>
      <c r="AJ7" s="28"/>
      <c r="AL7" s="11" t="s">
        <v>133</v>
      </c>
      <c r="AM7" s="12">
        <f t="shared" si="3"/>
        <v>1.161111685686443</v>
      </c>
      <c r="AO7" s="45" t="s">
        <v>133</v>
      </c>
      <c r="AP7" s="45">
        <v>2012</v>
      </c>
      <c r="AQ7" s="2">
        <f t="shared" si="8"/>
        <v>4</v>
      </c>
      <c r="AR7" s="17">
        <f>6419-SUM(AR4:AR6)</f>
        <v>2258</v>
      </c>
      <c r="AS7">
        <f t="shared" ref="AS7:AS50" si="18">AVERAGE(AR5:AR8)</f>
        <v>1730</v>
      </c>
      <c r="AT7">
        <f t="shared" ref="AT7:AT50" si="19">AVERAGE(AS7:AS8)</f>
        <v>1790.125</v>
      </c>
      <c r="AU7">
        <f t="shared" ref="AU7:AU50" si="20">AR7/AT7</f>
        <v>1.26136442985825</v>
      </c>
      <c r="AV7">
        <f t="shared" si="4"/>
        <v>1.161111685686443</v>
      </c>
      <c r="AW7">
        <f t="shared" si="5"/>
        <v>1944.6880328872778</v>
      </c>
      <c r="AX7">
        <f t="shared" si="9"/>
        <v>-972.11457382953313</v>
      </c>
      <c r="AY7">
        <f t="shared" si="6"/>
        <v>-1128.7335914995674</v>
      </c>
    </row>
    <row r="8" spans="1:55" x14ac:dyDescent="0.2">
      <c r="A8" s="54">
        <f t="shared" si="7"/>
        <v>5</v>
      </c>
      <c r="B8" s="10">
        <v>1796</v>
      </c>
      <c r="D8" s="55">
        <f t="shared" si="10"/>
        <v>1884</v>
      </c>
      <c r="E8" s="4">
        <f t="shared" si="11"/>
        <v>88</v>
      </c>
      <c r="F8" s="57">
        <f t="shared" si="12"/>
        <v>2917264</v>
      </c>
      <c r="H8" s="55">
        <f t="shared" si="13"/>
        <v>1708</v>
      </c>
      <c r="I8" s="4">
        <f t="shared" si="14"/>
        <v>88</v>
      </c>
      <c r="J8" s="57">
        <f t="shared" ref="J8:J53" si="21">(B8-H8)^2</f>
        <v>7744</v>
      </c>
      <c r="L8" s="55">
        <f t="shared" ref="L8:L53" si="22">AVERAGE(B4:B7)</f>
        <v>1604.75</v>
      </c>
      <c r="M8" s="4">
        <f t="shared" ref="M8:M53" si="23">ABS(B8-L8)</f>
        <v>191.25</v>
      </c>
      <c r="N8" s="57">
        <f t="shared" ref="N8:N53" si="24">(B8-L8)^2</f>
        <v>36576.5625</v>
      </c>
      <c r="P8" s="55">
        <f t="shared" si="15"/>
        <v>2036.6301012594038</v>
      </c>
      <c r="Q8" s="4">
        <f t="shared" si="16"/>
        <v>240.63010125940377</v>
      </c>
      <c r="R8" s="4">
        <f t="shared" si="17"/>
        <v>57902.845632110912</v>
      </c>
      <c r="T8" s="74"/>
      <c r="V8" s="9">
        <f t="shared" si="2"/>
        <v>1473.473375</v>
      </c>
      <c r="W8">
        <f t="shared" si="0"/>
        <v>322.52662499999997</v>
      </c>
      <c r="X8">
        <f t="shared" si="1"/>
        <v>104023.4238338906</v>
      </c>
      <c r="Z8" s="10"/>
      <c r="AB8" s="26" t="s">
        <v>102</v>
      </c>
      <c r="AC8" s="27">
        <v>0.91905373400389712</v>
      </c>
      <c r="AD8" s="27"/>
      <c r="AE8" s="27"/>
      <c r="AF8" s="27"/>
      <c r="AG8" s="27"/>
      <c r="AH8" s="27"/>
      <c r="AI8" s="27"/>
      <c r="AJ8" s="28"/>
      <c r="AO8" s="45" t="s">
        <v>130</v>
      </c>
      <c r="AP8" s="45">
        <v>2013</v>
      </c>
      <c r="AQ8" s="2">
        <f t="shared" si="8"/>
        <v>5</v>
      </c>
      <c r="AR8" s="17">
        <v>1796</v>
      </c>
      <c r="AS8">
        <f t="shared" si="18"/>
        <v>1850.25</v>
      </c>
      <c r="AT8">
        <f t="shared" si="19"/>
        <v>1915.75</v>
      </c>
      <c r="AU8">
        <f t="shared" si="20"/>
        <v>0.93749184392535556</v>
      </c>
      <c r="AV8">
        <f t="shared" si="4"/>
        <v>0.94240102045102947</v>
      </c>
      <c r="AW8">
        <f t="shared" si="5"/>
        <v>1905.7704321462231</v>
      </c>
      <c r="AX8">
        <f t="shared" si="9"/>
        <v>-451.79668667467104</v>
      </c>
      <c r="AY8">
        <f t="shared" si="6"/>
        <v>-425.77365855860404</v>
      </c>
    </row>
    <row r="9" spans="1:55" x14ac:dyDescent="0.2">
      <c r="A9" s="54">
        <f t="shared" si="7"/>
        <v>6</v>
      </c>
      <c r="B9" s="10">
        <v>1837</v>
      </c>
      <c r="D9" s="55">
        <f t="shared" si="10"/>
        <v>2027</v>
      </c>
      <c r="E9" s="4">
        <f t="shared" si="11"/>
        <v>190</v>
      </c>
      <c r="F9" s="57">
        <f t="shared" si="12"/>
        <v>2712609</v>
      </c>
      <c r="H9" s="55">
        <f t="shared" si="13"/>
        <v>1854.6666666666667</v>
      </c>
      <c r="I9" s="4">
        <f t="shared" si="14"/>
        <v>17.666666666666742</v>
      </c>
      <c r="J9" s="57">
        <f t="shared" si="21"/>
        <v>312.11111111111381</v>
      </c>
      <c r="L9" s="55">
        <f t="shared" si="22"/>
        <v>1730</v>
      </c>
      <c r="M9" s="4">
        <f t="shared" si="23"/>
        <v>107</v>
      </c>
      <c r="N9" s="57">
        <f t="shared" si="24"/>
        <v>11449</v>
      </c>
      <c r="P9" s="55">
        <f t="shared" si="15"/>
        <v>1932.7284668691914</v>
      </c>
      <c r="Q9" s="4">
        <f t="shared" si="16"/>
        <v>95.728466869191379</v>
      </c>
      <c r="R9" s="4">
        <f t="shared" si="17"/>
        <v>9163.939369125872</v>
      </c>
      <c r="T9" s="74"/>
      <c r="V9" s="9">
        <f t="shared" si="2"/>
        <v>1521.8523687500001</v>
      </c>
      <c r="W9">
        <f t="shared" si="0"/>
        <v>315.1476312499999</v>
      </c>
      <c r="X9">
        <f t="shared" si="1"/>
        <v>99318.029482485916</v>
      </c>
      <c r="Z9" s="10"/>
      <c r="AB9" s="26" t="s">
        <v>103</v>
      </c>
      <c r="AC9" s="27">
        <v>2248.9832326405367</v>
      </c>
      <c r="AD9" s="27"/>
      <c r="AE9" s="27"/>
      <c r="AF9" s="27"/>
      <c r="AG9" s="27"/>
      <c r="AH9" s="27"/>
      <c r="AI9" s="27"/>
      <c r="AJ9" s="28"/>
      <c r="AO9" s="45" t="s">
        <v>131</v>
      </c>
      <c r="AP9" s="45">
        <v>2013</v>
      </c>
      <c r="AQ9" s="2">
        <f t="shared" si="8"/>
        <v>6</v>
      </c>
      <c r="AR9" s="17">
        <v>1837</v>
      </c>
      <c r="AS9">
        <f t="shared" si="18"/>
        <v>1981.25</v>
      </c>
      <c r="AT9">
        <f t="shared" si="19"/>
        <v>2063.75</v>
      </c>
      <c r="AU9">
        <f t="shared" si="20"/>
        <v>0.89012719563900666</v>
      </c>
      <c r="AV9">
        <f t="shared" si="4"/>
        <v>0.93250357690448427</v>
      </c>
      <c r="AW9">
        <f t="shared" si="5"/>
        <v>1969.9656339100163</v>
      </c>
      <c r="AX9">
        <f t="shared" si="9"/>
        <v>68.521200480190601</v>
      </c>
      <c r="AY9">
        <f t="shared" si="6"/>
        <v>63.896264541567</v>
      </c>
    </row>
    <row r="10" spans="1:55" ht="16" thickBot="1" x14ac:dyDescent="0.25">
      <c r="A10" s="54">
        <f t="shared" si="7"/>
        <v>7</v>
      </c>
      <c r="B10" s="10">
        <v>2034</v>
      </c>
      <c r="D10" s="55">
        <f t="shared" si="10"/>
        <v>1816.5</v>
      </c>
      <c r="E10" s="4">
        <f t="shared" si="11"/>
        <v>217.5</v>
      </c>
      <c r="F10" s="57">
        <f t="shared" si="12"/>
        <v>3299672.25</v>
      </c>
      <c r="H10" s="55">
        <f t="shared" si="13"/>
        <v>1963.6666666666667</v>
      </c>
      <c r="I10" s="4">
        <f t="shared" si="14"/>
        <v>70.333333333333258</v>
      </c>
      <c r="J10" s="57">
        <f t="shared" si="21"/>
        <v>4946.7777777777674</v>
      </c>
      <c r="L10" s="55">
        <f t="shared" si="22"/>
        <v>1850.25</v>
      </c>
      <c r="M10" s="4">
        <f t="shared" si="23"/>
        <v>183.75</v>
      </c>
      <c r="N10" s="57">
        <f t="shared" si="24"/>
        <v>33764.0625</v>
      </c>
      <c r="P10" s="55">
        <f t="shared" si="15"/>
        <v>1824.8660884380151</v>
      </c>
      <c r="Q10" s="4">
        <f t="shared" si="16"/>
        <v>209.13391156198486</v>
      </c>
      <c r="R10" s="4">
        <f t="shared" si="17"/>
        <v>43736.992965216108</v>
      </c>
      <c r="T10" s="74"/>
      <c r="V10" s="9">
        <f t="shared" si="2"/>
        <v>1569.1245134374999</v>
      </c>
      <c r="W10">
        <f t="shared" si="0"/>
        <v>464.8754865625001</v>
      </c>
      <c r="X10">
        <f t="shared" si="1"/>
        <v>216109.2180067212</v>
      </c>
      <c r="Z10" s="10"/>
      <c r="AB10" s="34" t="s">
        <v>104</v>
      </c>
      <c r="AC10" s="33">
        <v>50</v>
      </c>
      <c r="AD10" s="27"/>
      <c r="AE10" s="27"/>
      <c r="AF10" s="27"/>
      <c r="AG10" s="27"/>
      <c r="AH10" s="27"/>
      <c r="AI10" s="27"/>
      <c r="AJ10" s="28"/>
      <c r="AO10" s="45" t="s">
        <v>132</v>
      </c>
      <c r="AP10" s="45">
        <v>2013</v>
      </c>
      <c r="AQ10" s="2">
        <f t="shared" si="8"/>
        <v>7</v>
      </c>
      <c r="AR10" s="17">
        <v>2034</v>
      </c>
      <c r="AS10">
        <f t="shared" si="18"/>
        <v>2146.25</v>
      </c>
      <c r="AT10">
        <f t="shared" si="19"/>
        <v>2211.375</v>
      </c>
      <c r="AU10">
        <f t="shared" si="20"/>
        <v>0.91978972358826527</v>
      </c>
      <c r="AV10">
        <f t="shared" si="4"/>
        <v>1.0362141742586009</v>
      </c>
      <c r="AW10">
        <f t="shared" si="5"/>
        <v>1962.9146662226497</v>
      </c>
      <c r="AX10">
        <f t="shared" si="9"/>
        <v>588.83908763505269</v>
      </c>
      <c r="AY10">
        <f t="shared" si="6"/>
        <v>610.16340896494398</v>
      </c>
    </row>
    <row r="11" spans="1:55" x14ac:dyDescent="0.2">
      <c r="A11" s="54">
        <f t="shared" si="7"/>
        <v>8</v>
      </c>
      <c r="B11" s="10">
        <f>8585-SUM(B8:B10)</f>
        <v>2918</v>
      </c>
      <c r="D11" s="55">
        <f t="shared" si="10"/>
        <v>1935.5</v>
      </c>
      <c r="E11" s="4">
        <f t="shared" si="11"/>
        <v>982.5</v>
      </c>
      <c r="F11" s="57">
        <f t="shared" si="12"/>
        <v>3746160.25</v>
      </c>
      <c r="H11" s="55">
        <f t="shared" si="13"/>
        <v>1889</v>
      </c>
      <c r="I11" s="4">
        <f t="shared" si="14"/>
        <v>1029</v>
      </c>
      <c r="J11" s="57">
        <f t="shared" si="21"/>
        <v>1058841</v>
      </c>
      <c r="L11" s="55">
        <f t="shared" si="22"/>
        <v>1981.25</v>
      </c>
      <c r="M11" s="4">
        <f t="shared" si="23"/>
        <v>936.75</v>
      </c>
      <c r="N11" s="57">
        <f t="shared" si="24"/>
        <v>877500.5625</v>
      </c>
      <c r="P11" s="55">
        <f t="shared" si="15"/>
        <v>1975.6980346899766</v>
      </c>
      <c r="Q11" s="4">
        <f t="shared" si="16"/>
        <v>942.30196531002343</v>
      </c>
      <c r="R11" s="4">
        <f t="shared" si="17"/>
        <v>887932.99382713262</v>
      </c>
      <c r="T11" s="10"/>
      <c r="V11" s="9">
        <f t="shared" si="2"/>
        <v>1638.8558364218748</v>
      </c>
      <c r="W11">
        <f t="shared" si="0"/>
        <v>1279.1441635781252</v>
      </c>
      <c r="X11">
        <f t="shared" si="1"/>
        <v>1636209.7912159816</v>
      </c>
      <c r="Z11" s="10"/>
      <c r="AB11" s="26"/>
      <c r="AC11" s="27"/>
      <c r="AD11" s="27"/>
      <c r="AE11" s="27"/>
      <c r="AF11" s="27"/>
      <c r="AG11" s="27"/>
      <c r="AH11" s="27"/>
      <c r="AI11" s="27"/>
      <c r="AJ11" s="28"/>
      <c r="AO11" s="45" t="s">
        <v>133</v>
      </c>
      <c r="AP11" s="45">
        <v>2013</v>
      </c>
      <c r="AQ11" s="2">
        <f t="shared" si="8"/>
        <v>8</v>
      </c>
      <c r="AR11" s="17">
        <f>8585-SUM(AR8:AR10)</f>
        <v>2918</v>
      </c>
      <c r="AS11">
        <f t="shared" si="18"/>
        <v>2276.5</v>
      </c>
      <c r="AT11">
        <f t="shared" si="19"/>
        <v>2344.625</v>
      </c>
      <c r="AU11">
        <f t="shared" si="20"/>
        <v>1.2445487018179879</v>
      </c>
      <c r="AV11">
        <f t="shared" si="4"/>
        <v>1.161111685686443</v>
      </c>
      <c r="AW11">
        <f t="shared" si="5"/>
        <v>2513.1088042360834</v>
      </c>
      <c r="AX11">
        <f t="shared" si="9"/>
        <v>1109.1569747899148</v>
      </c>
      <c r="AY11">
        <f t="shared" si="6"/>
        <v>1287.8551246891934</v>
      </c>
    </row>
    <row r="12" spans="1:55" ht="16" thickBot="1" x14ac:dyDescent="0.25">
      <c r="A12" s="54">
        <f t="shared" si="7"/>
        <v>9</v>
      </c>
      <c r="B12" s="10">
        <v>2317</v>
      </c>
      <c r="D12" s="55">
        <f t="shared" si="10"/>
        <v>2476</v>
      </c>
      <c r="E12" s="4">
        <f t="shared" si="11"/>
        <v>159</v>
      </c>
      <c r="F12" s="57">
        <f t="shared" si="12"/>
        <v>4656964</v>
      </c>
      <c r="H12" s="55">
        <f t="shared" si="13"/>
        <v>2263</v>
      </c>
      <c r="I12" s="4">
        <f t="shared" si="14"/>
        <v>54</v>
      </c>
      <c r="J12" s="57">
        <f t="shared" si="21"/>
        <v>2916</v>
      </c>
      <c r="L12" s="55">
        <f t="shared" si="22"/>
        <v>2146.25</v>
      </c>
      <c r="M12" s="4">
        <f t="shared" si="23"/>
        <v>170.75</v>
      </c>
      <c r="N12" s="57">
        <f t="shared" si="24"/>
        <v>29155.5625</v>
      </c>
      <c r="P12" s="55">
        <f t="shared" si="15"/>
        <v>2656.3810287611136</v>
      </c>
      <c r="Q12" s="4">
        <f t="shared" si="16"/>
        <v>339.38102876111361</v>
      </c>
      <c r="R12" s="4">
        <f t="shared" si="17"/>
        <v>115179.48268295183</v>
      </c>
      <c r="T12" s="74"/>
      <c r="V12" s="9">
        <f t="shared" si="2"/>
        <v>1830.7274609585936</v>
      </c>
      <c r="W12">
        <f t="shared" si="0"/>
        <v>486.27253904140639</v>
      </c>
      <c r="X12">
        <f t="shared" si="1"/>
        <v>236460.9822257761</v>
      </c>
      <c r="Z12" s="10"/>
      <c r="AB12" s="26" t="s">
        <v>105</v>
      </c>
      <c r="AC12" s="27"/>
      <c r="AD12" s="27"/>
      <c r="AE12" s="27"/>
      <c r="AF12" s="27"/>
      <c r="AG12" s="27"/>
      <c r="AH12" s="27"/>
      <c r="AI12" s="27"/>
      <c r="AJ12" s="28"/>
      <c r="AO12" s="45" t="s">
        <v>130</v>
      </c>
      <c r="AP12" s="45">
        <v>2014</v>
      </c>
      <c r="AQ12" s="2">
        <f t="shared" si="8"/>
        <v>9</v>
      </c>
      <c r="AR12" s="17">
        <v>2317</v>
      </c>
      <c r="AS12">
        <f t="shared" si="18"/>
        <v>2412.75</v>
      </c>
      <c r="AT12">
        <f t="shared" si="19"/>
        <v>2488.875</v>
      </c>
      <c r="AU12">
        <f t="shared" si="20"/>
        <v>0.93094269499271765</v>
      </c>
      <c r="AV12">
        <f t="shared" si="4"/>
        <v>0.94240102045102947</v>
      </c>
      <c r="AW12">
        <f t="shared" si="5"/>
        <v>2458.6136365717143</v>
      </c>
      <c r="AX12">
        <f t="shared" si="9"/>
        <v>1629.4748619447764</v>
      </c>
      <c r="AY12">
        <f t="shared" si="6"/>
        <v>1535.6187726960577</v>
      </c>
    </row>
    <row r="13" spans="1:55" x14ac:dyDescent="0.2">
      <c r="A13" s="54">
        <f t="shared" si="7"/>
        <v>10</v>
      </c>
      <c r="B13" s="10">
        <v>2382</v>
      </c>
      <c r="D13" s="55">
        <f t="shared" si="10"/>
        <v>2617.5</v>
      </c>
      <c r="E13" s="4">
        <f t="shared" si="11"/>
        <v>235.5</v>
      </c>
      <c r="F13" s="57">
        <f t="shared" si="12"/>
        <v>4607462.25</v>
      </c>
      <c r="H13" s="55">
        <f t="shared" si="13"/>
        <v>2423</v>
      </c>
      <c r="I13" s="4">
        <f t="shared" si="14"/>
        <v>41</v>
      </c>
      <c r="J13" s="57">
        <f t="shared" si="21"/>
        <v>1681</v>
      </c>
      <c r="L13" s="55">
        <f t="shared" si="22"/>
        <v>2276.5</v>
      </c>
      <c r="M13" s="4">
        <f t="shared" si="23"/>
        <v>105.5</v>
      </c>
      <c r="N13" s="57">
        <f t="shared" si="24"/>
        <v>11130.25</v>
      </c>
      <c r="P13" s="55">
        <f t="shared" si="15"/>
        <v>2494.8653865549441</v>
      </c>
      <c r="Q13" s="4">
        <f t="shared" si="16"/>
        <v>112.86538655494405</v>
      </c>
      <c r="R13" s="4">
        <f t="shared" si="17"/>
        <v>12738.595482196946</v>
      </c>
      <c r="T13" s="10"/>
      <c r="V13" s="9">
        <f t="shared" si="2"/>
        <v>1903.6683418148045</v>
      </c>
      <c r="W13">
        <f t="shared" si="0"/>
        <v>478.33165818519547</v>
      </c>
      <c r="X13">
        <f t="shared" si="1"/>
        <v>228801.17522219868</v>
      </c>
      <c r="Z13" s="10"/>
      <c r="AB13" s="35"/>
      <c r="AC13" s="32" t="s">
        <v>110</v>
      </c>
      <c r="AD13" s="32" t="s">
        <v>111</v>
      </c>
      <c r="AE13" s="32" t="s">
        <v>112</v>
      </c>
      <c r="AF13" s="32" t="s">
        <v>113</v>
      </c>
      <c r="AG13" s="32" t="s">
        <v>114</v>
      </c>
      <c r="AH13" s="27"/>
      <c r="AI13" s="27"/>
      <c r="AJ13" s="28"/>
      <c r="AO13" s="45" t="s">
        <v>131</v>
      </c>
      <c r="AP13" s="45">
        <v>2014</v>
      </c>
      <c r="AQ13" s="2">
        <f t="shared" si="8"/>
        <v>10</v>
      </c>
      <c r="AR13" s="17">
        <v>2382</v>
      </c>
      <c r="AS13">
        <f t="shared" si="18"/>
        <v>2565</v>
      </c>
      <c r="AT13">
        <f t="shared" si="19"/>
        <v>2628.25</v>
      </c>
      <c r="AU13">
        <f t="shared" si="20"/>
        <v>0.9063064776942833</v>
      </c>
      <c r="AV13">
        <f t="shared" si="4"/>
        <v>0.93250357690448427</v>
      </c>
      <c r="AW13">
        <f t="shared" si="5"/>
        <v>2554.4137942153829</v>
      </c>
      <c r="AX13">
        <f t="shared" si="9"/>
        <v>2149.792749099639</v>
      </c>
      <c r="AY13">
        <f t="shared" si="6"/>
        <v>2004.6894281387379</v>
      </c>
    </row>
    <row r="14" spans="1:55" x14ac:dyDescent="0.2">
      <c r="A14" s="54">
        <f t="shared" si="7"/>
        <v>11</v>
      </c>
      <c r="B14" s="10">
        <v>2643</v>
      </c>
      <c r="D14" s="55">
        <f t="shared" si="10"/>
        <v>2349.5</v>
      </c>
      <c r="E14" s="4">
        <f t="shared" si="11"/>
        <v>293.5</v>
      </c>
      <c r="F14" s="57">
        <f t="shared" si="12"/>
        <v>5520150.25</v>
      </c>
      <c r="H14" s="55">
        <f t="shared" si="13"/>
        <v>2539</v>
      </c>
      <c r="I14" s="4">
        <f t="shared" si="14"/>
        <v>104</v>
      </c>
      <c r="J14" s="57">
        <f t="shared" si="21"/>
        <v>10816</v>
      </c>
      <c r="L14" s="55">
        <f t="shared" si="22"/>
        <v>2412.75</v>
      </c>
      <c r="M14" s="4">
        <f t="shared" si="23"/>
        <v>230.25</v>
      </c>
      <c r="N14" s="57">
        <f t="shared" si="24"/>
        <v>53015.0625</v>
      </c>
      <c r="P14" s="55">
        <f t="shared" si="15"/>
        <v>2362.7633109383169</v>
      </c>
      <c r="Q14" s="4">
        <f t="shared" si="16"/>
        <v>280.23668906168314</v>
      </c>
      <c r="R14" s="4">
        <f t="shared" si="17"/>
        <v>78532.601896254477</v>
      </c>
      <c r="T14" s="10"/>
      <c r="V14" s="9">
        <f t="shared" si="2"/>
        <v>1975.4180905425837</v>
      </c>
      <c r="W14">
        <f t="shared" si="0"/>
        <v>667.58190945741626</v>
      </c>
      <c r="X14">
        <f t="shared" si="1"/>
        <v>445665.60583480995</v>
      </c>
      <c r="Z14" s="10"/>
      <c r="AB14" s="26" t="s">
        <v>106</v>
      </c>
      <c r="AC14" s="27">
        <v>1</v>
      </c>
      <c r="AD14" s="27">
        <v>2818983452.2064829</v>
      </c>
      <c r="AE14" s="27">
        <v>2818983452.2064829</v>
      </c>
      <c r="AF14" s="27">
        <v>557.33984362365891</v>
      </c>
      <c r="AG14" s="27">
        <v>4.5505059067473686E-28</v>
      </c>
      <c r="AH14" s="27"/>
      <c r="AI14" s="27"/>
      <c r="AJ14" s="28"/>
      <c r="AO14" s="45" t="s">
        <v>132</v>
      </c>
      <c r="AP14" s="45">
        <v>2014</v>
      </c>
      <c r="AQ14" s="2">
        <f t="shared" si="8"/>
        <v>11</v>
      </c>
      <c r="AR14" s="17">
        <v>2643</v>
      </c>
      <c r="AS14">
        <f t="shared" si="18"/>
        <v>2691.5</v>
      </c>
      <c r="AT14">
        <f t="shared" si="19"/>
        <v>2746.75</v>
      </c>
      <c r="AU14">
        <f t="shared" si="20"/>
        <v>0.96222808774005641</v>
      </c>
      <c r="AV14">
        <f t="shared" si="4"/>
        <v>1.0362141742586009</v>
      </c>
      <c r="AW14">
        <f t="shared" si="5"/>
        <v>2550.6310043394606</v>
      </c>
      <c r="AX14">
        <f t="shared" si="9"/>
        <v>2670.1106362545006</v>
      </c>
      <c r="AY14">
        <f t="shared" si="6"/>
        <v>2766.8064881255646</v>
      </c>
    </row>
    <row r="15" spans="1:55" x14ac:dyDescent="0.2">
      <c r="A15" s="54">
        <f t="shared" si="7"/>
        <v>12</v>
      </c>
      <c r="B15" s="10">
        <f>10766-SUM(B12:B14)</f>
        <v>3424</v>
      </c>
      <c r="D15" s="55">
        <f t="shared" si="10"/>
        <v>2512.5</v>
      </c>
      <c r="E15" s="4">
        <f t="shared" si="11"/>
        <v>911.5</v>
      </c>
      <c r="F15" s="57">
        <f t="shared" si="12"/>
        <v>6312656.25</v>
      </c>
      <c r="H15" s="55">
        <f t="shared" si="13"/>
        <v>2447.3333333333335</v>
      </c>
      <c r="I15" s="4">
        <f t="shared" si="14"/>
        <v>976.66666666666652</v>
      </c>
      <c r="J15" s="57">
        <f t="shared" si="21"/>
        <v>953877.77777777752</v>
      </c>
      <c r="L15" s="55">
        <f t="shared" si="22"/>
        <v>2565</v>
      </c>
      <c r="M15" s="4">
        <f t="shared" si="23"/>
        <v>859</v>
      </c>
      <c r="N15" s="57">
        <f t="shared" si="24"/>
        <v>737881</v>
      </c>
      <c r="P15" s="55">
        <f t="shared" si="15"/>
        <v>2565.7572946907808</v>
      </c>
      <c r="Q15" s="4">
        <f t="shared" si="16"/>
        <v>858.24270530921922</v>
      </c>
      <c r="R15" s="4">
        <f t="shared" si="17"/>
        <v>736580.5412164873</v>
      </c>
      <c r="T15" s="10"/>
      <c r="V15" s="9">
        <f t="shared" si="2"/>
        <v>2075.5553769611961</v>
      </c>
      <c r="W15">
        <f t="shared" si="0"/>
        <v>1348.4446230388039</v>
      </c>
      <c r="X15">
        <f t="shared" si="1"/>
        <v>1818302.901402262</v>
      </c>
      <c r="Z15" s="10"/>
      <c r="AB15" s="26" t="s">
        <v>107</v>
      </c>
      <c r="AC15" s="27">
        <v>48</v>
      </c>
      <c r="AD15" s="27">
        <v>242780427.87351739</v>
      </c>
      <c r="AE15" s="27">
        <v>5057925.5806982787</v>
      </c>
      <c r="AF15" s="27"/>
      <c r="AG15" s="27"/>
      <c r="AH15" s="27"/>
      <c r="AI15" s="27"/>
      <c r="AJ15" s="28"/>
      <c r="AO15" s="45" t="s">
        <v>133</v>
      </c>
      <c r="AP15" s="45">
        <v>2014</v>
      </c>
      <c r="AQ15" s="2">
        <f t="shared" si="8"/>
        <v>12</v>
      </c>
      <c r="AR15" s="17">
        <f>10766-SUM(AR12:AR14)</f>
        <v>3424</v>
      </c>
      <c r="AS15">
        <f t="shared" si="18"/>
        <v>2802</v>
      </c>
      <c r="AT15">
        <f t="shared" si="19"/>
        <v>2863.75</v>
      </c>
      <c r="AU15">
        <f t="shared" si="20"/>
        <v>1.1956350938454823</v>
      </c>
      <c r="AV15">
        <f t="shared" si="4"/>
        <v>1.161111685686443</v>
      </c>
      <c r="AW15">
        <f t="shared" si="5"/>
        <v>2948.8980622701679</v>
      </c>
      <c r="AX15">
        <f t="shared" si="9"/>
        <v>3190.4285234093622</v>
      </c>
      <c r="AY15">
        <f t="shared" si="6"/>
        <v>3704.4438408779538</v>
      </c>
    </row>
    <row r="16" spans="1:55" ht="16" thickBot="1" x14ac:dyDescent="0.25">
      <c r="A16" s="54">
        <f t="shared" si="7"/>
        <v>13</v>
      </c>
      <c r="B16" s="10">
        <v>2759</v>
      </c>
      <c r="D16" s="55">
        <f t="shared" si="10"/>
        <v>3033.5</v>
      </c>
      <c r="E16" s="4">
        <f t="shared" si="11"/>
        <v>274.5</v>
      </c>
      <c r="F16" s="57">
        <f t="shared" si="12"/>
        <v>6172740.25</v>
      </c>
      <c r="H16" s="55">
        <f t="shared" si="13"/>
        <v>2816.3333333333335</v>
      </c>
      <c r="I16" s="4">
        <f t="shared" si="14"/>
        <v>57.333333333333485</v>
      </c>
      <c r="J16" s="57">
        <f t="shared" si="21"/>
        <v>3287.1111111111286</v>
      </c>
      <c r="L16" s="55">
        <f t="shared" si="22"/>
        <v>2691.5</v>
      </c>
      <c r="M16" s="4">
        <f t="shared" si="23"/>
        <v>67.5</v>
      </c>
      <c r="N16" s="57">
        <f t="shared" si="24"/>
        <v>4556.25</v>
      </c>
      <c r="P16" s="55">
        <f t="shared" si="15"/>
        <v>3192.8637821973189</v>
      </c>
      <c r="Q16" s="4">
        <f t="shared" si="16"/>
        <v>433.86378219731887</v>
      </c>
      <c r="R16" s="4">
        <f t="shared" si="17"/>
        <v>188237.78150256255</v>
      </c>
      <c r="T16" s="10"/>
      <c r="V16" s="9">
        <f t="shared" si="2"/>
        <v>2277.8220704170167</v>
      </c>
      <c r="W16">
        <f t="shared" si="0"/>
        <v>481.17792958298332</v>
      </c>
      <c r="X16">
        <f t="shared" si="1"/>
        <v>231532.19991776647</v>
      </c>
      <c r="Z16" s="10"/>
      <c r="AB16" s="34" t="s">
        <v>108</v>
      </c>
      <c r="AC16" s="33">
        <v>49</v>
      </c>
      <c r="AD16" s="33">
        <v>3061763880.0800004</v>
      </c>
      <c r="AE16" s="33"/>
      <c r="AF16" s="33"/>
      <c r="AG16" s="33"/>
      <c r="AH16" s="27"/>
      <c r="AI16" s="27"/>
      <c r="AJ16" s="28"/>
      <c r="AO16" s="45" t="s">
        <v>130</v>
      </c>
      <c r="AP16" s="45">
        <v>2015</v>
      </c>
      <c r="AQ16" s="2">
        <f t="shared" si="8"/>
        <v>13</v>
      </c>
      <c r="AR16" s="17">
        <v>2759</v>
      </c>
      <c r="AS16">
        <f t="shared" si="18"/>
        <v>2925.5</v>
      </c>
      <c r="AT16">
        <f t="shared" si="19"/>
        <v>2998.875</v>
      </c>
      <c r="AU16">
        <f t="shared" si="20"/>
        <v>0.92001167104330794</v>
      </c>
      <c r="AV16">
        <f t="shared" si="4"/>
        <v>0.94240102045102947</v>
      </c>
      <c r="AW16">
        <f t="shared" si="5"/>
        <v>2927.6284088482348</v>
      </c>
      <c r="AX16">
        <f t="shared" si="9"/>
        <v>3710.7464105642248</v>
      </c>
      <c r="AY16">
        <f t="shared" si="6"/>
        <v>3497.0112039507203</v>
      </c>
    </row>
    <row r="17" spans="1:51" ht="16" thickBot="1" x14ac:dyDescent="0.25">
      <c r="A17" s="54">
        <f t="shared" si="7"/>
        <v>14</v>
      </c>
      <c r="B17" s="10">
        <v>2876</v>
      </c>
      <c r="D17" s="55">
        <f t="shared" si="10"/>
        <v>3091.5</v>
      </c>
      <c r="E17" s="4">
        <f t="shared" si="11"/>
        <v>215.5</v>
      </c>
      <c r="F17" s="57">
        <f t="shared" si="12"/>
        <v>7078260.25</v>
      </c>
      <c r="H17" s="55">
        <f t="shared" si="13"/>
        <v>2942</v>
      </c>
      <c r="I17" s="4">
        <f t="shared" si="14"/>
        <v>66</v>
      </c>
      <c r="J17" s="57">
        <f t="shared" si="21"/>
        <v>4356</v>
      </c>
      <c r="L17" s="55">
        <f t="shared" si="22"/>
        <v>2802</v>
      </c>
      <c r="M17" s="4">
        <f t="shared" si="23"/>
        <v>74</v>
      </c>
      <c r="N17" s="57">
        <f t="shared" si="24"/>
        <v>5476</v>
      </c>
      <c r="P17" s="55">
        <f t="shared" si="15"/>
        <v>2955.8061265541392</v>
      </c>
      <c r="Q17" s="4">
        <f t="shared" si="16"/>
        <v>79.806126554139155</v>
      </c>
      <c r="R17" s="4">
        <f t="shared" si="17"/>
        <v>6369.0178355752751</v>
      </c>
      <c r="T17" s="10"/>
      <c r="V17" s="9">
        <f t="shared" si="2"/>
        <v>2349.998759854464</v>
      </c>
      <c r="W17">
        <f t="shared" si="0"/>
        <v>526.00124014553603</v>
      </c>
      <c r="X17">
        <f t="shared" si="1"/>
        <v>276677.30463464186</v>
      </c>
      <c r="Z17" s="10"/>
      <c r="AB17" s="26"/>
      <c r="AC17" s="27"/>
      <c r="AD17" s="27"/>
      <c r="AE17" s="27"/>
      <c r="AF17" s="27"/>
      <c r="AG17" s="27"/>
      <c r="AH17" s="27"/>
      <c r="AI17" s="27"/>
      <c r="AJ17" s="28"/>
      <c r="AO17" s="45" t="s">
        <v>131</v>
      </c>
      <c r="AP17" s="45">
        <v>2015</v>
      </c>
      <c r="AQ17" s="2">
        <f t="shared" si="8"/>
        <v>14</v>
      </c>
      <c r="AR17" s="17">
        <v>2876</v>
      </c>
      <c r="AS17">
        <f t="shared" si="18"/>
        <v>3072.25</v>
      </c>
      <c r="AT17">
        <f t="shared" si="19"/>
        <v>3212.375</v>
      </c>
      <c r="AU17">
        <f t="shared" si="20"/>
        <v>0.89528775438733021</v>
      </c>
      <c r="AV17">
        <f t="shared" si="4"/>
        <v>0.93250357690448427</v>
      </c>
      <c r="AW17">
        <f t="shared" si="5"/>
        <v>3084.1704752995138</v>
      </c>
      <c r="AX17">
        <f t="shared" si="9"/>
        <v>4231.0642977190864</v>
      </c>
      <c r="AY17">
        <f t="shared" si="6"/>
        <v>3945.482591735908</v>
      </c>
    </row>
    <row r="18" spans="1:51" x14ac:dyDescent="0.2">
      <c r="A18" s="54">
        <f t="shared" si="7"/>
        <v>15</v>
      </c>
      <c r="B18" s="10">
        <v>3230</v>
      </c>
      <c r="D18" s="55">
        <f t="shared" si="10"/>
        <v>2817.5</v>
      </c>
      <c r="E18" s="4">
        <f t="shared" si="11"/>
        <v>412.5</v>
      </c>
      <c r="F18" s="57">
        <f t="shared" si="12"/>
        <v>7938306.25</v>
      </c>
      <c r="H18" s="55">
        <f t="shared" si="13"/>
        <v>3019.6666666666665</v>
      </c>
      <c r="I18" s="4">
        <f t="shared" si="14"/>
        <v>210.33333333333348</v>
      </c>
      <c r="J18" s="57">
        <f t="shared" si="21"/>
        <v>44240.111111111175</v>
      </c>
      <c r="L18" s="55">
        <f t="shared" si="22"/>
        <v>2925.5</v>
      </c>
      <c r="M18" s="4">
        <f t="shared" si="23"/>
        <v>304.5</v>
      </c>
      <c r="N18" s="57">
        <f t="shared" si="24"/>
        <v>92720.25</v>
      </c>
      <c r="P18" s="55">
        <f t="shared" si="15"/>
        <v>2841.3739596889704</v>
      </c>
      <c r="Q18" s="4">
        <f t="shared" si="16"/>
        <v>388.62604031102956</v>
      </c>
      <c r="R18" s="4">
        <f t="shared" si="17"/>
        <v>151030.19920782998</v>
      </c>
      <c r="T18" s="10"/>
      <c r="V18" s="9">
        <f t="shared" si="2"/>
        <v>2428.8989458762944</v>
      </c>
      <c r="W18">
        <f t="shared" si="0"/>
        <v>801.10105412370558</v>
      </c>
      <c r="X18">
        <f t="shared" si="1"/>
        <v>641762.89891811227</v>
      </c>
      <c r="Z18" s="10"/>
      <c r="AB18" s="35"/>
      <c r="AC18" s="32" t="s">
        <v>115</v>
      </c>
      <c r="AD18" s="32" t="s">
        <v>103</v>
      </c>
      <c r="AE18" s="32" t="s">
        <v>116</v>
      </c>
      <c r="AF18" s="115" t="s">
        <v>117</v>
      </c>
      <c r="AG18" s="32" t="s">
        <v>118</v>
      </c>
      <c r="AH18" s="32" t="s">
        <v>119</v>
      </c>
      <c r="AI18" s="32" t="s">
        <v>120</v>
      </c>
      <c r="AJ18" s="38" t="s">
        <v>121</v>
      </c>
      <c r="AK18" s="6"/>
      <c r="AL18" s="6"/>
      <c r="AM18" s="6"/>
      <c r="AO18" s="45" t="s">
        <v>132</v>
      </c>
      <c r="AP18" s="45">
        <v>2015</v>
      </c>
      <c r="AQ18" s="2">
        <f t="shared" si="8"/>
        <v>15</v>
      </c>
      <c r="AR18" s="17">
        <v>3230</v>
      </c>
      <c r="AS18">
        <f t="shared" si="18"/>
        <v>3352.5</v>
      </c>
      <c r="AT18">
        <f t="shared" si="19"/>
        <v>3468.5</v>
      </c>
      <c r="AU18">
        <f t="shared" si="20"/>
        <v>0.93123828744414017</v>
      </c>
      <c r="AV18">
        <f t="shared" si="4"/>
        <v>1.0362141742586009</v>
      </c>
      <c r="AW18">
        <f t="shared" si="5"/>
        <v>3117.116210373234</v>
      </c>
      <c r="AX18">
        <f t="shared" si="9"/>
        <v>4751.382184873949</v>
      </c>
      <c r="AY18">
        <f t="shared" si="6"/>
        <v>4923.4495672861858</v>
      </c>
    </row>
    <row r="19" spans="1:51" x14ac:dyDescent="0.2">
      <c r="A19" s="54">
        <f t="shared" si="7"/>
        <v>16</v>
      </c>
      <c r="B19" s="10">
        <f>13410-SUM(B16:B18)</f>
        <v>4545</v>
      </c>
      <c r="D19" s="55">
        <f t="shared" si="10"/>
        <v>3053</v>
      </c>
      <c r="E19" s="4">
        <f t="shared" si="11"/>
        <v>1492</v>
      </c>
      <c r="F19" s="57">
        <f t="shared" si="12"/>
        <v>9320809</v>
      </c>
      <c r="H19" s="55">
        <f t="shared" si="13"/>
        <v>2955</v>
      </c>
      <c r="I19" s="4">
        <f t="shared" si="14"/>
        <v>1590</v>
      </c>
      <c r="J19" s="57">
        <f t="shared" si="21"/>
        <v>2528100</v>
      </c>
      <c r="L19" s="55">
        <f t="shared" si="22"/>
        <v>3072.25</v>
      </c>
      <c r="M19" s="4">
        <f t="shared" si="23"/>
        <v>1472.75</v>
      </c>
      <c r="N19" s="57">
        <f t="shared" si="24"/>
        <v>2168992.5625</v>
      </c>
      <c r="P19" s="55">
        <f t="shared" si="15"/>
        <v>3125.2340318794504</v>
      </c>
      <c r="Q19" s="4">
        <f t="shared" si="16"/>
        <v>1419.7659681205496</v>
      </c>
      <c r="R19" s="4">
        <f t="shared" si="17"/>
        <v>2015735.4042332815</v>
      </c>
      <c r="T19" s="10"/>
      <c r="V19" s="9">
        <f t="shared" si="2"/>
        <v>2549.06410399485</v>
      </c>
      <c r="W19">
        <f t="shared" si="0"/>
        <v>1995.93589600515</v>
      </c>
      <c r="X19">
        <f t="shared" si="1"/>
        <v>3983760.1009618808</v>
      </c>
      <c r="Z19" s="10"/>
      <c r="AB19" s="26" t="s">
        <v>109</v>
      </c>
      <c r="AC19" s="27">
        <v>-3053.386122448981</v>
      </c>
      <c r="AD19" s="27">
        <v>645.7714789149652</v>
      </c>
      <c r="AE19" s="27">
        <v>-4.7282765221829335</v>
      </c>
      <c r="AF19" s="17">
        <v>2.0204425830475524E-5</v>
      </c>
      <c r="AG19" s="27">
        <v>-4351.7967034378134</v>
      </c>
      <c r="AH19" s="27">
        <v>-1754.9755414601486</v>
      </c>
      <c r="AI19" s="27">
        <v>-4351.7967034378134</v>
      </c>
      <c r="AJ19" s="28">
        <v>-1754.9755414601486</v>
      </c>
      <c r="AO19" s="45" t="s">
        <v>133</v>
      </c>
      <c r="AP19" s="45">
        <v>2015</v>
      </c>
      <c r="AQ19" s="2">
        <f t="shared" si="8"/>
        <v>16</v>
      </c>
      <c r="AR19" s="17">
        <f>13410-SUM(AR16:AR18)</f>
        <v>4545</v>
      </c>
      <c r="AS19">
        <f t="shared" si="18"/>
        <v>3584.5</v>
      </c>
      <c r="AT19">
        <f t="shared" si="19"/>
        <v>3709.75</v>
      </c>
      <c r="AU19">
        <f t="shared" si="20"/>
        <v>1.225149942718512</v>
      </c>
      <c r="AV19">
        <f t="shared" si="4"/>
        <v>1.161111685686443</v>
      </c>
      <c r="AW19">
        <f t="shared" si="5"/>
        <v>3914.3521299701852</v>
      </c>
      <c r="AX19">
        <f t="shared" si="9"/>
        <v>5271.7000720288106</v>
      </c>
      <c r="AY19">
        <f t="shared" si="6"/>
        <v>6121.0325570667146</v>
      </c>
    </row>
    <row r="20" spans="1:51" ht="16" thickBot="1" x14ac:dyDescent="0.25">
      <c r="A20" s="54">
        <f t="shared" si="7"/>
        <v>17</v>
      </c>
      <c r="B20" s="10">
        <v>3687</v>
      </c>
      <c r="D20" s="55">
        <f t="shared" si="10"/>
        <v>3887.5</v>
      </c>
      <c r="E20" s="4">
        <f t="shared" si="11"/>
        <v>200.5</v>
      </c>
      <c r="F20" s="57">
        <f t="shared" si="12"/>
        <v>12155682.25</v>
      </c>
      <c r="H20" s="55">
        <f t="shared" si="13"/>
        <v>3550.3333333333335</v>
      </c>
      <c r="I20" s="4">
        <f t="shared" si="14"/>
        <v>136.66666666666652</v>
      </c>
      <c r="J20" s="57">
        <f t="shared" si="21"/>
        <v>18677.777777777737</v>
      </c>
      <c r="L20" s="55">
        <f t="shared" si="22"/>
        <v>3352.5</v>
      </c>
      <c r="M20" s="4">
        <f t="shared" si="23"/>
        <v>334.5</v>
      </c>
      <c r="N20" s="57">
        <f t="shared" si="24"/>
        <v>111890.25</v>
      </c>
      <c r="P20" s="55">
        <f t="shared" si="15"/>
        <v>4155.8269828290322</v>
      </c>
      <c r="Q20" s="4">
        <f t="shared" si="16"/>
        <v>468.8269828290322</v>
      </c>
      <c r="R20" s="4">
        <f t="shared" si="17"/>
        <v>219798.73982857366</v>
      </c>
      <c r="T20" s="10"/>
      <c r="V20" s="9">
        <f t="shared" si="2"/>
        <v>2848.4544883956223</v>
      </c>
      <c r="W20">
        <f t="shared" si="0"/>
        <v>838.54551160437768</v>
      </c>
      <c r="X20">
        <f t="shared" si="1"/>
        <v>703158.57503184746</v>
      </c>
      <c r="Z20" s="10"/>
      <c r="AB20" s="34" t="s">
        <v>80</v>
      </c>
      <c r="AC20" s="33">
        <v>520.31788715486198</v>
      </c>
      <c r="AD20" s="33">
        <v>22.039853851833019</v>
      </c>
      <c r="AE20" s="33">
        <v>23.608046162773807</v>
      </c>
      <c r="AF20" s="46">
        <v>4.5505059067473686E-28</v>
      </c>
      <c r="AG20" s="33">
        <v>476.00379094740822</v>
      </c>
      <c r="AH20" s="33">
        <v>564.63198336231574</v>
      </c>
      <c r="AI20" s="33">
        <v>476.00379094740822</v>
      </c>
      <c r="AJ20" s="39">
        <v>564.63198336231574</v>
      </c>
      <c r="AO20" s="45" t="s">
        <v>130</v>
      </c>
      <c r="AP20" s="45">
        <v>2016</v>
      </c>
      <c r="AQ20" s="2">
        <f t="shared" si="8"/>
        <v>17</v>
      </c>
      <c r="AR20" s="17">
        <v>3687</v>
      </c>
      <c r="AS20">
        <f t="shared" si="18"/>
        <v>3835</v>
      </c>
      <c r="AT20">
        <f t="shared" si="19"/>
        <v>3973.125</v>
      </c>
      <c r="AU20">
        <f t="shared" si="20"/>
        <v>0.9279848985370458</v>
      </c>
      <c r="AV20">
        <f t="shared" si="4"/>
        <v>0.94240102045102947</v>
      </c>
      <c r="AW20">
        <f t="shared" si="5"/>
        <v>3912.3472067500693</v>
      </c>
      <c r="AX20">
        <f t="shared" si="9"/>
        <v>5792.0179591836732</v>
      </c>
      <c r="AY20">
        <f t="shared" si="6"/>
        <v>5458.4036352053827</v>
      </c>
    </row>
    <row r="21" spans="1:51" x14ac:dyDescent="0.2">
      <c r="A21" s="54">
        <f t="shared" si="7"/>
        <v>18</v>
      </c>
      <c r="B21" s="10">
        <v>3878</v>
      </c>
      <c r="D21" s="55">
        <f t="shared" si="10"/>
        <v>4116</v>
      </c>
      <c r="E21" s="4">
        <f t="shared" si="11"/>
        <v>238</v>
      </c>
      <c r="F21" s="57">
        <f t="shared" si="12"/>
        <v>13249600</v>
      </c>
      <c r="H21" s="55">
        <f t="shared" si="13"/>
        <v>3820.6666666666665</v>
      </c>
      <c r="I21" s="4">
        <f t="shared" si="14"/>
        <v>57.333333333333485</v>
      </c>
      <c r="J21" s="57">
        <f t="shared" si="21"/>
        <v>3287.1111111111286</v>
      </c>
      <c r="L21" s="55">
        <f t="shared" si="22"/>
        <v>3584.5</v>
      </c>
      <c r="M21" s="4">
        <f t="shared" si="23"/>
        <v>293.5</v>
      </c>
      <c r="N21" s="57">
        <f t="shared" si="24"/>
        <v>86142.25</v>
      </c>
      <c r="P21" s="55">
        <f t="shared" si="15"/>
        <v>3940.9242956142125</v>
      </c>
      <c r="Q21" s="4">
        <f t="shared" si="16"/>
        <v>62.924295614212497</v>
      </c>
      <c r="R21" s="4">
        <f t="shared" si="17"/>
        <v>3959.4669785448023</v>
      </c>
      <c r="T21" s="10"/>
      <c r="V21" s="9">
        <f t="shared" si="2"/>
        <v>2974.2363151362788</v>
      </c>
      <c r="W21">
        <f t="shared" si="0"/>
        <v>903.76368486372121</v>
      </c>
      <c r="X21">
        <f t="shared" si="1"/>
        <v>816788.79807845154</v>
      </c>
      <c r="Z21" s="10"/>
      <c r="AB21" s="26"/>
      <c r="AC21" s="27"/>
      <c r="AD21" s="27"/>
      <c r="AE21" s="27"/>
      <c r="AF21" s="27"/>
      <c r="AG21" s="27"/>
      <c r="AH21" s="27"/>
      <c r="AI21" s="27"/>
      <c r="AJ21" s="28"/>
      <c r="AO21" s="45" t="s">
        <v>131</v>
      </c>
      <c r="AP21" s="45">
        <v>2016</v>
      </c>
      <c r="AQ21" s="2">
        <f t="shared" si="8"/>
        <v>18</v>
      </c>
      <c r="AR21" s="17">
        <v>3878</v>
      </c>
      <c r="AS21">
        <f t="shared" si="18"/>
        <v>4111.25</v>
      </c>
      <c r="AT21">
        <f t="shared" si="19"/>
        <v>4258</v>
      </c>
      <c r="AU21">
        <f t="shared" si="20"/>
        <v>0.9107562235791451</v>
      </c>
      <c r="AV21">
        <f t="shared" si="4"/>
        <v>0.93250357690448427</v>
      </c>
      <c r="AW21">
        <f t="shared" si="5"/>
        <v>4158.6971847049772</v>
      </c>
      <c r="AX21">
        <f t="shared" si="9"/>
        <v>6312.3358463385339</v>
      </c>
      <c r="AY21">
        <f t="shared" si="6"/>
        <v>5886.2757553330775</v>
      </c>
    </row>
    <row r="22" spans="1:51" x14ac:dyDescent="0.2">
      <c r="A22" s="54">
        <f t="shared" si="7"/>
        <v>19</v>
      </c>
      <c r="B22" s="10">
        <v>4335</v>
      </c>
      <c r="D22" s="55">
        <f t="shared" si="10"/>
        <v>3782.5</v>
      </c>
      <c r="E22" s="4">
        <f t="shared" si="11"/>
        <v>552.5</v>
      </c>
      <c r="F22" s="57">
        <f t="shared" si="12"/>
        <v>14307306.25</v>
      </c>
      <c r="H22" s="55">
        <f t="shared" si="13"/>
        <v>4036.6666666666665</v>
      </c>
      <c r="I22" s="4">
        <f t="shared" si="14"/>
        <v>298.33333333333348</v>
      </c>
      <c r="J22" s="57">
        <f t="shared" si="21"/>
        <v>89002.777777777868</v>
      </c>
      <c r="L22" s="55">
        <f t="shared" si="22"/>
        <v>3835</v>
      </c>
      <c r="M22" s="4">
        <f t="shared" si="23"/>
        <v>500</v>
      </c>
      <c r="N22" s="57">
        <f t="shared" si="24"/>
        <v>250000</v>
      </c>
      <c r="P22" s="55">
        <f t="shared" si="15"/>
        <v>3821.4737290649009</v>
      </c>
      <c r="Q22" s="4">
        <f t="shared" si="16"/>
        <v>513.52627093509909</v>
      </c>
      <c r="R22" s="4">
        <f t="shared" si="17"/>
        <v>263709.23094050877</v>
      </c>
      <c r="T22" s="10"/>
      <c r="V22" s="9">
        <f t="shared" si="2"/>
        <v>3109.8008678658366</v>
      </c>
      <c r="W22">
        <f t="shared" si="0"/>
        <v>1225.1991321341634</v>
      </c>
      <c r="X22">
        <f t="shared" si="1"/>
        <v>1501112.9133823072</v>
      </c>
      <c r="Z22" s="10"/>
      <c r="AB22" s="36"/>
      <c r="AC22" s="37"/>
      <c r="AD22" s="37"/>
      <c r="AE22" s="37"/>
      <c r="AF22" s="37" t="s">
        <v>122</v>
      </c>
      <c r="AG22" s="37"/>
      <c r="AH22" s="37"/>
      <c r="AI22" s="37"/>
      <c r="AJ22" s="40"/>
      <c r="AO22" s="45" t="s">
        <v>132</v>
      </c>
      <c r="AP22" s="45">
        <v>2016</v>
      </c>
      <c r="AQ22" s="2">
        <f t="shared" si="8"/>
        <v>19</v>
      </c>
      <c r="AR22" s="17">
        <v>4335</v>
      </c>
      <c r="AS22">
        <f t="shared" si="18"/>
        <v>4404.75</v>
      </c>
      <c r="AT22">
        <f t="shared" si="19"/>
        <v>4531</v>
      </c>
      <c r="AU22">
        <f t="shared" si="20"/>
        <v>0.95674244096226002</v>
      </c>
      <c r="AV22">
        <f t="shared" si="4"/>
        <v>1.0362141742586009</v>
      </c>
      <c r="AW22">
        <f t="shared" si="5"/>
        <v>4183.4980718167089</v>
      </c>
      <c r="AX22">
        <f t="shared" si="9"/>
        <v>6832.6537334933964</v>
      </c>
      <c r="AY22">
        <f t="shared" si="6"/>
        <v>7080.0926464468057</v>
      </c>
    </row>
    <row r="23" spans="1:51" x14ac:dyDescent="0.2">
      <c r="A23" s="54">
        <f t="shared" si="7"/>
        <v>20</v>
      </c>
      <c r="B23" s="10">
        <f>17619-SUM(B20:B22)</f>
        <v>5719</v>
      </c>
      <c r="D23" s="55">
        <f t="shared" si="10"/>
        <v>4106.5</v>
      </c>
      <c r="E23" s="4">
        <f t="shared" si="11"/>
        <v>1612.5</v>
      </c>
      <c r="F23" s="57">
        <f t="shared" si="12"/>
        <v>16863342.25</v>
      </c>
      <c r="H23" s="55">
        <f t="shared" si="13"/>
        <v>3966.6666666666665</v>
      </c>
      <c r="I23" s="4">
        <f t="shared" si="14"/>
        <v>1752.3333333333335</v>
      </c>
      <c r="J23" s="57">
        <f t="shared" si="21"/>
        <v>3070672.1111111115</v>
      </c>
      <c r="L23" s="55">
        <f t="shared" si="22"/>
        <v>4111.25</v>
      </c>
      <c r="M23" s="4">
        <f t="shared" si="23"/>
        <v>1607.75</v>
      </c>
      <c r="N23" s="57">
        <f t="shared" si="24"/>
        <v>2584860.0625</v>
      </c>
      <c r="P23" s="55">
        <f t="shared" si="15"/>
        <v>4199.7512784432456</v>
      </c>
      <c r="Q23" s="4">
        <f t="shared" si="16"/>
        <v>1519.2487215567544</v>
      </c>
      <c r="R23" s="4">
        <f t="shared" si="17"/>
        <v>2308116.6779518328</v>
      </c>
      <c r="T23" s="10"/>
      <c r="V23" s="9">
        <f t="shared" si="2"/>
        <v>3293.5807376859611</v>
      </c>
      <c r="W23">
        <f t="shared" si="0"/>
        <v>2425.4192623140389</v>
      </c>
      <c r="X23">
        <f t="shared" si="1"/>
        <v>5882658.598003976</v>
      </c>
      <c r="Z23" s="10"/>
      <c r="AO23" s="45" t="s">
        <v>133</v>
      </c>
      <c r="AP23" s="45">
        <v>2016</v>
      </c>
      <c r="AQ23" s="2">
        <f t="shared" si="8"/>
        <v>20</v>
      </c>
      <c r="AR23" s="17">
        <f>17619-SUM(AR20:AR22)</f>
        <v>5719</v>
      </c>
      <c r="AS23">
        <f t="shared" si="18"/>
        <v>4657.25</v>
      </c>
      <c r="AT23">
        <f t="shared" si="19"/>
        <v>4817.25</v>
      </c>
      <c r="AU23">
        <f t="shared" si="20"/>
        <v>1.1871918625771964</v>
      </c>
      <c r="AV23">
        <f t="shared" si="4"/>
        <v>1.161111685686443</v>
      </c>
      <c r="AW23">
        <f t="shared" si="5"/>
        <v>4925.452108096697</v>
      </c>
      <c r="AX23">
        <f t="shared" si="9"/>
        <v>7352.971620648259</v>
      </c>
      <c r="AY23">
        <f t="shared" si="6"/>
        <v>8537.6212732554759</v>
      </c>
    </row>
    <row r="24" spans="1:51" x14ac:dyDescent="0.2">
      <c r="A24" s="54">
        <f t="shared" si="7"/>
        <v>21</v>
      </c>
      <c r="B24" s="10">
        <v>4697</v>
      </c>
      <c r="D24" s="55">
        <f t="shared" si="10"/>
        <v>5027</v>
      </c>
      <c r="E24" s="4">
        <f t="shared" si="11"/>
        <v>330</v>
      </c>
      <c r="F24" s="57">
        <f t="shared" si="12"/>
        <v>19070689</v>
      </c>
      <c r="H24" s="55">
        <f t="shared" si="13"/>
        <v>4644</v>
      </c>
      <c r="I24" s="4">
        <f t="shared" si="14"/>
        <v>53</v>
      </c>
      <c r="J24" s="57">
        <f t="shared" si="21"/>
        <v>2809</v>
      </c>
      <c r="L24" s="55">
        <f t="shared" si="22"/>
        <v>4404.75</v>
      </c>
      <c r="M24" s="4">
        <f t="shared" si="23"/>
        <v>292.25</v>
      </c>
      <c r="N24" s="57">
        <f t="shared" si="24"/>
        <v>85410.0625</v>
      </c>
      <c r="P24" s="55">
        <f t="shared" si="15"/>
        <v>5309.4064975173987</v>
      </c>
      <c r="Q24" s="4">
        <f t="shared" si="16"/>
        <v>612.40649751739875</v>
      </c>
      <c r="R24" s="4">
        <f t="shared" si="17"/>
        <v>375041.71820152772</v>
      </c>
      <c r="T24" s="10"/>
      <c r="V24" s="9">
        <f t="shared" si="2"/>
        <v>3657.3936270330669</v>
      </c>
      <c r="W24">
        <f t="shared" si="0"/>
        <v>1039.6063729669331</v>
      </c>
      <c r="X24">
        <f t="shared" si="1"/>
        <v>1080781.4107134622</v>
      </c>
      <c r="Z24" s="10"/>
      <c r="AO24" s="45" t="s">
        <v>130</v>
      </c>
      <c r="AP24" s="45">
        <v>2017</v>
      </c>
      <c r="AQ24" s="2">
        <f t="shared" si="8"/>
        <v>21</v>
      </c>
      <c r="AR24" s="17">
        <v>4697</v>
      </c>
      <c r="AS24">
        <f t="shared" si="18"/>
        <v>4977.25</v>
      </c>
      <c r="AT24">
        <f t="shared" si="19"/>
        <v>5237.875</v>
      </c>
      <c r="AU24">
        <f t="shared" si="20"/>
        <v>0.89673770374436201</v>
      </c>
      <c r="AV24">
        <f t="shared" si="4"/>
        <v>0.94240102045102947</v>
      </c>
      <c r="AW24">
        <f t="shared" si="5"/>
        <v>4984.0777949837466</v>
      </c>
      <c r="AX24">
        <f t="shared" si="9"/>
        <v>7873.2895078031197</v>
      </c>
      <c r="AY24">
        <f t="shared" si="6"/>
        <v>7419.7960664600432</v>
      </c>
    </row>
    <row r="25" spans="1:51" x14ac:dyDescent="0.2">
      <c r="A25" s="54">
        <f t="shared" si="7"/>
        <v>22</v>
      </c>
      <c r="B25" s="10">
        <v>5158</v>
      </c>
      <c r="D25" s="55">
        <f t="shared" si="10"/>
        <v>5208</v>
      </c>
      <c r="E25" s="4">
        <f t="shared" si="11"/>
        <v>50</v>
      </c>
      <c r="F25" s="57">
        <f t="shared" si="12"/>
        <v>26091664</v>
      </c>
      <c r="H25" s="55">
        <f t="shared" si="13"/>
        <v>4917</v>
      </c>
      <c r="I25" s="4">
        <f t="shared" si="14"/>
        <v>241</v>
      </c>
      <c r="J25" s="57">
        <f t="shared" si="21"/>
        <v>58081</v>
      </c>
      <c r="L25" s="55">
        <f t="shared" si="22"/>
        <v>4657.25</v>
      </c>
      <c r="M25" s="4">
        <f t="shared" si="23"/>
        <v>500.75</v>
      </c>
      <c r="N25" s="57">
        <f t="shared" si="24"/>
        <v>250750.5625</v>
      </c>
      <c r="P25" s="55">
        <f t="shared" si="15"/>
        <v>4999.459941862151</v>
      </c>
      <c r="Q25" s="4">
        <f t="shared" si="16"/>
        <v>158.54005813784897</v>
      </c>
      <c r="R25" s="4">
        <f t="shared" si="17"/>
        <v>25134.950034352532</v>
      </c>
      <c r="T25" s="10"/>
      <c r="V25" s="9">
        <f t="shared" si="2"/>
        <v>3813.3345829781065</v>
      </c>
      <c r="W25">
        <f t="shared" si="0"/>
        <v>1344.6654170218935</v>
      </c>
      <c r="X25">
        <f t="shared" si="1"/>
        <v>1808125.0837346627</v>
      </c>
      <c r="Z25" s="10"/>
      <c r="AO25" s="45" t="s">
        <v>131</v>
      </c>
      <c r="AP25" s="45">
        <v>2017</v>
      </c>
      <c r="AQ25" s="2">
        <f t="shared" si="8"/>
        <v>22</v>
      </c>
      <c r="AR25" s="17">
        <v>5158</v>
      </c>
      <c r="AS25">
        <f t="shared" si="18"/>
        <v>5498.5</v>
      </c>
      <c r="AT25">
        <f t="shared" si="19"/>
        <v>5905.375</v>
      </c>
      <c r="AU25">
        <f t="shared" si="20"/>
        <v>0.87344156806299345</v>
      </c>
      <c r="AV25">
        <f t="shared" si="4"/>
        <v>0.93250357690448427</v>
      </c>
      <c r="AW25">
        <f t="shared" si="5"/>
        <v>5531.3460749634532</v>
      </c>
      <c r="AX25">
        <f t="shared" si="9"/>
        <v>8393.6073949579823</v>
      </c>
      <c r="AY25">
        <f t="shared" si="6"/>
        <v>7827.0689189302484</v>
      </c>
    </row>
    <row r="26" spans="1:51" x14ac:dyDescent="0.2">
      <c r="A26" s="54">
        <f t="shared" si="7"/>
        <v>23</v>
      </c>
      <c r="B26" s="10">
        <v>6420</v>
      </c>
      <c r="D26" s="55">
        <f t="shared" si="10"/>
        <v>4927.5</v>
      </c>
      <c r="E26" s="4">
        <f t="shared" si="11"/>
        <v>1492.5</v>
      </c>
      <c r="F26" s="57">
        <f t="shared" si="12"/>
        <v>24280256.25</v>
      </c>
      <c r="H26" s="55">
        <f t="shared" si="13"/>
        <v>5191.333333333333</v>
      </c>
      <c r="I26" s="4">
        <f t="shared" si="14"/>
        <v>1228.666666666667</v>
      </c>
      <c r="J26" s="57">
        <f t="shared" si="21"/>
        <v>1509621.7777777785</v>
      </c>
      <c r="L26" s="55">
        <f t="shared" si="22"/>
        <v>4977.25</v>
      </c>
      <c r="M26" s="4">
        <f t="shared" si="23"/>
        <v>1442.75</v>
      </c>
      <c r="N26" s="57">
        <f t="shared" si="24"/>
        <v>2081527.5625</v>
      </c>
      <c r="P26" s="55">
        <f t="shared" si="15"/>
        <v>5021.5674821932953</v>
      </c>
      <c r="Q26" s="4">
        <f t="shared" si="16"/>
        <v>1398.4325178067047</v>
      </c>
      <c r="R26" s="4">
        <f t="shared" si="17"/>
        <v>1955613.5068591994</v>
      </c>
      <c r="T26" s="10"/>
      <c r="V26" s="9">
        <f t="shared" si="2"/>
        <v>4015.0343955313901</v>
      </c>
      <c r="W26">
        <f t="shared" si="0"/>
        <v>2404.9656044686099</v>
      </c>
      <c r="X26">
        <f t="shared" si="1"/>
        <v>5783859.5586770661</v>
      </c>
      <c r="Z26" s="10"/>
      <c r="AO26" s="45" t="s">
        <v>132</v>
      </c>
      <c r="AP26" s="45">
        <v>2017</v>
      </c>
      <c r="AQ26" s="2">
        <f t="shared" si="8"/>
        <v>23</v>
      </c>
      <c r="AR26" s="17">
        <v>6420</v>
      </c>
      <c r="AS26">
        <f t="shared" si="18"/>
        <v>6312.25</v>
      </c>
      <c r="AT26">
        <f t="shared" si="19"/>
        <v>6699.125</v>
      </c>
      <c r="AU26">
        <f t="shared" si="20"/>
        <v>0.95833411079805197</v>
      </c>
      <c r="AV26">
        <f t="shared" si="4"/>
        <v>1.0362141742586009</v>
      </c>
      <c r="AW26">
        <f t="shared" si="5"/>
        <v>6195.6303624136726</v>
      </c>
      <c r="AX26">
        <f t="shared" si="9"/>
        <v>8913.9252821128448</v>
      </c>
      <c r="AY26">
        <f t="shared" si="6"/>
        <v>9236.7357256074265</v>
      </c>
    </row>
    <row r="27" spans="1:51" x14ac:dyDescent="0.2">
      <c r="A27" s="54">
        <f t="shared" si="7"/>
        <v>24</v>
      </c>
      <c r="B27" s="10">
        <f>25249-SUM(B24:B26)</f>
        <v>8974</v>
      </c>
      <c r="D27" s="55">
        <f t="shared" si="10"/>
        <v>5789</v>
      </c>
      <c r="E27" s="4">
        <f t="shared" si="11"/>
        <v>3185</v>
      </c>
      <c r="F27" s="57">
        <f t="shared" si="12"/>
        <v>33512521</v>
      </c>
      <c r="H27" s="55">
        <f t="shared" si="13"/>
        <v>5425</v>
      </c>
      <c r="I27" s="4">
        <f t="shared" si="14"/>
        <v>3549</v>
      </c>
      <c r="J27" s="57">
        <f t="shared" si="21"/>
        <v>12595401</v>
      </c>
      <c r="L27" s="55">
        <f t="shared" si="22"/>
        <v>5498.5</v>
      </c>
      <c r="M27" s="4">
        <f t="shared" si="23"/>
        <v>3475.5</v>
      </c>
      <c r="N27" s="57">
        <f t="shared" si="24"/>
        <v>12079100.25</v>
      </c>
      <c r="P27" s="55">
        <f t="shared" si="15"/>
        <v>6046.5122831408653</v>
      </c>
      <c r="Q27" s="4">
        <f t="shared" si="16"/>
        <v>2927.4877168591347</v>
      </c>
      <c r="R27" s="4">
        <f t="shared" si="17"/>
        <v>8570184.3323611096</v>
      </c>
      <c r="T27" s="10"/>
      <c r="V27" s="9">
        <f t="shared" si="2"/>
        <v>4375.7792362016817</v>
      </c>
      <c r="W27">
        <f t="shared" si="0"/>
        <v>4598.2207637983183</v>
      </c>
      <c r="X27">
        <f t="shared" si="1"/>
        <v>21143634.192625988</v>
      </c>
      <c r="Z27" s="10"/>
      <c r="AO27" s="45" t="s">
        <v>133</v>
      </c>
      <c r="AP27" s="45">
        <v>2017</v>
      </c>
      <c r="AQ27" s="2">
        <f t="shared" si="8"/>
        <v>24</v>
      </c>
      <c r="AR27" s="17">
        <f>25249-SUM(AR24:AR26)</f>
        <v>8974</v>
      </c>
      <c r="AS27">
        <f t="shared" si="18"/>
        <v>7086</v>
      </c>
      <c r="AT27">
        <f t="shared" si="19"/>
        <v>7432.75</v>
      </c>
      <c r="AU27">
        <f t="shared" si="20"/>
        <v>1.2073593219198817</v>
      </c>
      <c r="AV27">
        <f t="shared" si="4"/>
        <v>1.161111685686443</v>
      </c>
      <c r="AW27">
        <f t="shared" si="5"/>
        <v>7728.8000031578531</v>
      </c>
      <c r="AX27">
        <f t="shared" si="9"/>
        <v>9434.2431692677055</v>
      </c>
      <c r="AY27">
        <f t="shared" si="6"/>
        <v>10954.209989444236</v>
      </c>
    </row>
    <row r="28" spans="1:51" x14ac:dyDescent="0.2">
      <c r="A28" s="54">
        <f t="shared" si="7"/>
        <v>25</v>
      </c>
      <c r="B28" s="10">
        <v>7792</v>
      </c>
      <c r="D28" s="55">
        <f t="shared" si="10"/>
        <v>7697</v>
      </c>
      <c r="E28" s="4">
        <f t="shared" si="11"/>
        <v>95</v>
      </c>
      <c r="F28" s="57">
        <f t="shared" si="12"/>
        <v>59243809</v>
      </c>
      <c r="H28" s="55">
        <f t="shared" si="13"/>
        <v>6850.666666666667</v>
      </c>
      <c r="I28" s="4">
        <f t="shared" si="14"/>
        <v>941.33333333333303</v>
      </c>
      <c r="J28" s="57">
        <f t="shared" si="21"/>
        <v>886108.44444444391</v>
      </c>
      <c r="L28" s="55">
        <f t="shared" si="22"/>
        <v>6312.25</v>
      </c>
      <c r="M28" s="4">
        <f t="shared" si="23"/>
        <v>1479.75</v>
      </c>
      <c r="N28" s="57">
        <f t="shared" si="24"/>
        <v>2189660.0625</v>
      </c>
      <c r="P28" s="55">
        <f t="shared" si="15"/>
        <v>8218.1460944071096</v>
      </c>
      <c r="Q28" s="4">
        <f t="shared" si="16"/>
        <v>426.14609440710956</v>
      </c>
      <c r="R28" s="4">
        <f t="shared" si="17"/>
        <v>181600.49377843313</v>
      </c>
      <c r="T28" s="10"/>
      <c r="V28" s="9">
        <f t="shared" si="2"/>
        <v>5065.5123507714288</v>
      </c>
      <c r="W28">
        <f t="shared" si="0"/>
        <v>2726.4876492285712</v>
      </c>
      <c r="X28">
        <f t="shared" si="1"/>
        <v>7433734.9013959402</v>
      </c>
      <c r="Z28" s="10"/>
      <c r="AO28" s="45" t="s">
        <v>130</v>
      </c>
      <c r="AP28" s="45">
        <v>2018</v>
      </c>
      <c r="AQ28" s="2">
        <f t="shared" si="8"/>
        <v>25</v>
      </c>
      <c r="AR28" s="17">
        <v>7792</v>
      </c>
      <c r="AS28">
        <f t="shared" si="18"/>
        <v>7779.5</v>
      </c>
      <c r="AT28">
        <f t="shared" si="19"/>
        <v>8011.375</v>
      </c>
      <c r="AU28">
        <f t="shared" si="20"/>
        <v>0.97261706011764526</v>
      </c>
      <c r="AV28">
        <f t="shared" si="4"/>
        <v>0.94240102045102947</v>
      </c>
      <c r="AW28">
        <f t="shared" si="5"/>
        <v>8268.2423203136805</v>
      </c>
      <c r="AX28">
        <f t="shared" si="9"/>
        <v>9954.5610564225681</v>
      </c>
      <c r="AY28">
        <f t="shared" si="6"/>
        <v>9381.1884977147056</v>
      </c>
    </row>
    <row r="29" spans="1:51" x14ac:dyDescent="0.2">
      <c r="A29" s="54">
        <f t="shared" si="7"/>
        <v>26</v>
      </c>
      <c r="B29" s="10">
        <v>7932</v>
      </c>
      <c r="D29" s="55">
        <f t="shared" si="10"/>
        <v>8383</v>
      </c>
      <c r="E29" s="4">
        <f t="shared" si="11"/>
        <v>451</v>
      </c>
      <c r="F29" s="57">
        <f t="shared" si="12"/>
        <v>55965361</v>
      </c>
      <c r="H29" s="55">
        <f t="shared" si="13"/>
        <v>7728.666666666667</v>
      </c>
      <c r="I29" s="4">
        <f t="shared" si="14"/>
        <v>203.33333333333303</v>
      </c>
      <c r="J29" s="57">
        <f t="shared" si="21"/>
        <v>41344.444444444322</v>
      </c>
      <c r="L29" s="55">
        <f t="shared" si="22"/>
        <v>7086</v>
      </c>
      <c r="M29" s="4">
        <f t="shared" si="23"/>
        <v>846</v>
      </c>
      <c r="N29" s="57">
        <f t="shared" si="24"/>
        <v>715716</v>
      </c>
      <c r="P29" s="55">
        <f t="shared" si="15"/>
        <v>8141.8117918601383</v>
      </c>
      <c r="Q29" s="4">
        <f t="shared" si="16"/>
        <v>209.81179186013833</v>
      </c>
      <c r="R29" s="4">
        <f t="shared" si="17"/>
        <v>44020.988003562008</v>
      </c>
      <c r="T29" s="10"/>
      <c r="V29" s="9">
        <f t="shared" si="2"/>
        <v>5474.4854981557146</v>
      </c>
      <c r="W29">
        <f t="shared" si="0"/>
        <v>2457.5145018442854</v>
      </c>
      <c r="X29">
        <f t="shared" si="1"/>
        <v>6039377.5267749662</v>
      </c>
      <c r="Z29" s="10"/>
      <c r="AO29" s="45" t="s">
        <v>131</v>
      </c>
      <c r="AP29" s="45">
        <v>2018</v>
      </c>
      <c r="AQ29" s="2">
        <f t="shared" si="8"/>
        <v>26</v>
      </c>
      <c r="AR29" s="17">
        <v>7932</v>
      </c>
      <c r="AS29">
        <f t="shared" si="18"/>
        <v>8243.25</v>
      </c>
      <c r="AT29">
        <f t="shared" si="19"/>
        <v>8375</v>
      </c>
      <c r="AU29">
        <f t="shared" si="20"/>
        <v>0.94710447761194028</v>
      </c>
      <c r="AV29">
        <f t="shared" si="4"/>
        <v>0.93250357690448427</v>
      </c>
      <c r="AW29">
        <f t="shared" si="5"/>
        <v>8506.133591820495</v>
      </c>
      <c r="AX29">
        <f t="shared" si="9"/>
        <v>10474.878943577431</v>
      </c>
      <c r="AY29">
        <f t="shared" si="6"/>
        <v>9767.8620825274193</v>
      </c>
    </row>
    <row r="30" spans="1:51" x14ac:dyDescent="0.2">
      <c r="A30" s="54">
        <f t="shared" si="7"/>
        <v>27</v>
      </c>
      <c r="B30" s="10">
        <v>8275</v>
      </c>
      <c r="D30" s="55">
        <f t="shared" si="10"/>
        <v>7862</v>
      </c>
      <c r="E30" s="4">
        <f t="shared" si="11"/>
        <v>413</v>
      </c>
      <c r="F30" s="57">
        <f t="shared" si="12"/>
        <v>61811044</v>
      </c>
      <c r="H30" s="55">
        <f t="shared" si="13"/>
        <v>8232.6666666666661</v>
      </c>
      <c r="I30" s="4">
        <f t="shared" si="14"/>
        <v>42.33333333333394</v>
      </c>
      <c r="J30" s="57">
        <f t="shared" si="21"/>
        <v>1792.1111111111625</v>
      </c>
      <c r="L30" s="55">
        <f t="shared" si="22"/>
        <v>7779.5</v>
      </c>
      <c r="M30" s="4">
        <f t="shared" si="23"/>
        <v>495.5</v>
      </c>
      <c r="N30" s="57">
        <f t="shared" si="24"/>
        <v>245520.25</v>
      </c>
      <c r="P30" s="55">
        <f t="shared" si="15"/>
        <v>7890.5671312517597</v>
      </c>
      <c r="Q30" s="4">
        <f t="shared" si="16"/>
        <v>384.43286874824025</v>
      </c>
      <c r="R30" s="4">
        <f t="shared" si="17"/>
        <v>147788.63057400173</v>
      </c>
      <c r="T30" s="10"/>
      <c r="V30" s="9">
        <f t="shared" si="2"/>
        <v>5843.112673432357</v>
      </c>
      <c r="W30">
        <f t="shared" si="0"/>
        <v>2431.887326567643</v>
      </c>
      <c r="X30">
        <f t="shared" si="1"/>
        <v>5914075.9691203181</v>
      </c>
      <c r="Z30" s="10"/>
      <c r="AO30" s="45" t="s">
        <v>132</v>
      </c>
      <c r="AP30" s="45">
        <v>2018</v>
      </c>
      <c r="AQ30" s="2">
        <f t="shared" si="8"/>
        <v>27</v>
      </c>
      <c r="AR30" s="17">
        <v>8275</v>
      </c>
      <c r="AS30">
        <f t="shared" si="18"/>
        <v>8506.75</v>
      </c>
      <c r="AT30">
        <f t="shared" si="19"/>
        <v>8607.875</v>
      </c>
      <c r="AU30">
        <f t="shared" si="20"/>
        <v>0.96132901558166217</v>
      </c>
      <c r="AV30">
        <f t="shared" si="4"/>
        <v>1.0362141742586009</v>
      </c>
      <c r="AW30">
        <f t="shared" si="5"/>
        <v>7985.8008175970626</v>
      </c>
      <c r="AX30">
        <f t="shared" si="9"/>
        <v>10995.196830732293</v>
      </c>
      <c r="AY30">
        <f t="shared" si="6"/>
        <v>11393.378804768048</v>
      </c>
    </row>
    <row r="31" spans="1:51" x14ac:dyDescent="0.2">
      <c r="A31" s="54">
        <f t="shared" si="7"/>
        <v>28</v>
      </c>
      <c r="B31" s="10">
        <f>34027-SUM(B28:B30)</f>
        <v>10028</v>
      </c>
      <c r="D31" s="55">
        <f t="shared" si="10"/>
        <v>8103.5</v>
      </c>
      <c r="E31" s="4">
        <f t="shared" si="11"/>
        <v>1924.5</v>
      </c>
      <c r="F31" s="57">
        <f t="shared" si="12"/>
        <v>65666712.25</v>
      </c>
      <c r="H31" s="55">
        <f t="shared" si="13"/>
        <v>7999.666666666667</v>
      </c>
      <c r="I31" s="4">
        <f t="shared" si="14"/>
        <v>2028.333333333333</v>
      </c>
      <c r="J31" s="57">
        <f t="shared" si="21"/>
        <v>4114136.1111111101</v>
      </c>
      <c r="L31" s="55">
        <f t="shared" si="22"/>
        <v>8243.25</v>
      </c>
      <c r="M31" s="4">
        <f t="shared" si="23"/>
        <v>1784.75</v>
      </c>
      <c r="N31" s="57">
        <f t="shared" si="24"/>
        <v>3185332.5625</v>
      </c>
      <c r="P31" s="55">
        <f t="shared" si="15"/>
        <v>8173.4894715668106</v>
      </c>
      <c r="Q31" s="4">
        <f t="shared" si="16"/>
        <v>1854.5105284331894</v>
      </c>
      <c r="R31" s="4">
        <f t="shared" si="17"/>
        <v>3439209.3000695473</v>
      </c>
      <c r="T31" s="10"/>
      <c r="V31" s="9">
        <f t="shared" si="2"/>
        <v>6207.8957724175034</v>
      </c>
      <c r="W31">
        <f t="shared" si="0"/>
        <v>3820.1042275824966</v>
      </c>
      <c r="X31">
        <f t="shared" si="1"/>
        <v>14593196.309593663</v>
      </c>
      <c r="Z31" s="10"/>
      <c r="AO31" s="45" t="s">
        <v>133</v>
      </c>
      <c r="AP31" s="45">
        <v>2018</v>
      </c>
      <c r="AQ31" s="2">
        <f t="shared" si="8"/>
        <v>28</v>
      </c>
      <c r="AR31" s="17">
        <f>34027-SUM(AR28:AR30)</f>
        <v>10028</v>
      </c>
      <c r="AS31">
        <f t="shared" si="18"/>
        <v>8709</v>
      </c>
      <c r="AT31">
        <f t="shared" si="19"/>
        <v>8876.375</v>
      </c>
      <c r="AU31">
        <f t="shared" si="20"/>
        <v>1.1297404627452086</v>
      </c>
      <c r="AV31">
        <f t="shared" si="4"/>
        <v>1.161111685686443</v>
      </c>
      <c r="AW31">
        <f t="shared" si="5"/>
        <v>8636.5507501300362</v>
      </c>
      <c r="AX31">
        <f t="shared" si="9"/>
        <v>11515.514717887154</v>
      </c>
      <c r="AY31">
        <f t="shared" si="6"/>
        <v>13370.798705632997</v>
      </c>
    </row>
    <row r="32" spans="1:51" x14ac:dyDescent="0.2">
      <c r="A32" s="54">
        <f t="shared" si="7"/>
        <v>29</v>
      </c>
      <c r="B32" s="10">
        <v>8601</v>
      </c>
      <c r="D32" s="55">
        <f t="shared" si="10"/>
        <v>9151.5</v>
      </c>
      <c r="E32" s="4">
        <f t="shared" si="11"/>
        <v>550.5</v>
      </c>
      <c r="F32" s="57">
        <f t="shared" si="12"/>
        <v>64810550.25</v>
      </c>
      <c r="H32" s="55">
        <f t="shared" si="13"/>
        <v>8745</v>
      </c>
      <c r="I32" s="4">
        <f t="shared" si="14"/>
        <v>144</v>
      </c>
      <c r="J32" s="57">
        <f t="shared" si="21"/>
        <v>20736</v>
      </c>
      <c r="L32" s="55">
        <f t="shared" si="22"/>
        <v>8506.75</v>
      </c>
      <c r="M32" s="4">
        <f t="shared" si="23"/>
        <v>94.25</v>
      </c>
      <c r="N32" s="57">
        <f t="shared" si="24"/>
        <v>8883.0625</v>
      </c>
      <c r="P32" s="55">
        <f t="shared" si="15"/>
        <v>9509.2012934595386</v>
      </c>
      <c r="Q32" s="4">
        <f t="shared" si="16"/>
        <v>908.20129345953865</v>
      </c>
      <c r="R32" s="4">
        <f t="shared" si="17"/>
        <v>824829.58944157907</v>
      </c>
      <c r="T32" s="10"/>
      <c r="V32" s="9">
        <f t="shared" si="2"/>
        <v>6780.9114065548774</v>
      </c>
      <c r="W32">
        <f t="shared" si="0"/>
        <v>1820.0885934451226</v>
      </c>
      <c r="X32">
        <f t="shared" si="1"/>
        <v>3312722.4879890447</v>
      </c>
      <c r="Z32" s="10"/>
      <c r="AO32" s="45" t="s">
        <v>130</v>
      </c>
      <c r="AP32" s="45">
        <v>2019</v>
      </c>
      <c r="AQ32" s="2">
        <f t="shared" si="8"/>
        <v>29</v>
      </c>
      <c r="AR32" s="17">
        <v>8601</v>
      </c>
      <c r="AS32">
        <f t="shared" si="18"/>
        <v>9043.75</v>
      </c>
      <c r="AT32">
        <f t="shared" si="19"/>
        <v>9280.25</v>
      </c>
      <c r="AU32">
        <f t="shared" si="20"/>
        <v>0.9268069286926538</v>
      </c>
      <c r="AV32">
        <f t="shared" si="4"/>
        <v>0.94240102045102947</v>
      </c>
      <c r="AW32">
        <f t="shared" si="5"/>
        <v>9126.6879102949133</v>
      </c>
      <c r="AX32">
        <f t="shared" si="9"/>
        <v>12035.832605042016</v>
      </c>
      <c r="AY32">
        <f t="shared" si="6"/>
        <v>11342.580928969368</v>
      </c>
    </row>
    <row r="33" spans="1:51" x14ac:dyDescent="0.2">
      <c r="A33" s="54">
        <f t="shared" si="7"/>
        <v>30</v>
      </c>
      <c r="B33" s="10">
        <v>9271</v>
      </c>
      <c r="D33" s="55">
        <f t="shared" si="10"/>
        <v>9314.5</v>
      </c>
      <c r="E33" s="4">
        <f t="shared" si="11"/>
        <v>43.5</v>
      </c>
      <c r="F33" s="57">
        <f t="shared" si="12"/>
        <v>85146756.25</v>
      </c>
      <c r="H33" s="55">
        <f t="shared" si="13"/>
        <v>8968</v>
      </c>
      <c r="I33" s="4">
        <f t="shared" si="14"/>
        <v>303</v>
      </c>
      <c r="J33" s="57">
        <f t="shared" si="21"/>
        <v>91809</v>
      </c>
      <c r="L33" s="55">
        <f t="shared" si="22"/>
        <v>8709</v>
      </c>
      <c r="M33" s="4">
        <f t="shared" si="23"/>
        <v>562</v>
      </c>
      <c r="N33" s="57">
        <f t="shared" si="24"/>
        <v>315844</v>
      </c>
      <c r="P33" s="55">
        <f t="shared" si="15"/>
        <v>9023.3193121695585</v>
      </c>
      <c r="Q33" s="4">
        <f t="shared" si="16"/>
        <v>247.68068783044146</v>
      </c>
      <c r="R33" s="4">
        <f t="shared" si="17"/>
        <v>61345.723124160591</v>
      </c>
      <c r="T33" s="10"/>
      <c r="V33" s="9">
        <f t="shared" si="2"/>
        <v>7053.9246955716453</v>
      </c>
      <c r="W33">
        <f t="shared" si="0"/>
        <v>2217.0753044283547</v>
      </c>
      <c r="X33">
        <f t="shared" si="1"/>
        <v>4915422.9055060819</v>
      </c>
      <c r="Z33" s="10"/>
      <c r="AO33" s="45" t="s">
        <v>131</v>
      </c>
      <c r="AP33" s="45">
        <v>2019</v>
      </c>
      <c r="AQ33" s="2">
        <f t="shared" si="8"/>
        <v>30</v>
      </c>
      <c r="AR33" s="17">
        <v>9271</v>
      </c>
      <c r="AS33">
        <f t="shared" si="18"/>
        <v>9516.75</v>
      </c>
      <c r="AT33">
        <f t="shared" si="19"/>
        <v>9787.375</v>
      </c>
      <c r="AU33">
        <f t="shared" si="20"/>
        <v>0.94724070550070882</v>
      </c>
      <c r="AV33">
        <f t="shared" si="4"/>
        <v>0.93250357690448427</v>
      </c>
      <c r="AW33">
        <f t="shared" si="5"/>
        <v>9942.0530168643236</v>
      </c>
      <c r="AX33">
        <f t="shared" si="9"/>
        <v>12556.150492196879</v>
      </c>
      <c r="AY33">
        <f t="shared" si="6"/>
        <v>11708.65524612459</v>
      </c>
    </row>
    <row r="34" spans="1:51" x14ac:dyDescent="0.2">
      <c r="A34" s="54">
        <f t="shared" si="7"/>
        <v>31</v>
      </c>
      <c r="B34" s="10">
        <v>10167</v>
      </c>
      <c r="D34" s="55">
        <f t="shared" si="10"/>
        <v>8936</v>
      </c>
      <c r="E34" s="4">
        <f t="shared" si="11"/>
        <v>1231</v>
      </c>
      <c r="F34" s="57">
        <f t="shared" si="12"/>
        <v>79852096</v>
      </c>
      <c r="H34" s="55">
        <f t="shared" si="13"/>
        <v>9300</v>
      </c>
      <c r="I34" s="4">
        <f t="shared" si="14"/>
        <v>867</v>
      </c>
      <c r="J34" s="57">
        <f t="shared" si="21"/>
        <v>751689</v>
      </c>
      <c r="L34" s="55">
        <f t="shared" si="22"/>
        <v>9043.75</v>
      </c>
      <c r="M34" s="4">
        <f t="shared" si="23"/>
        <v>1123.25</v>
      </c>
      <c r="N34" s="57">
        <f t="shared" si="24"/>
        <v>1261690.5625</v>
      </c>
      <c r="P34" s="55">
        <f t="shared" si="15"/>
        <v>9072.7141281334225</v>
      </c>
      <c r="Q34" s="4">
        <f t="shared" si="16"/>
        <v>1094.2858718665775</v>
      </c>
      <c r="R34" s="4">
        <f t="shared" si="17"/>
        <v>1197461.5693667957</v>
      </c>
      <c r="T34" s="10"/>
      <c r="V34" s="9">
        <f t="shared" si="2"/>
        <v>7386.4859912358979</v>
      </c>
      <c r="W34">
        <f t="shared" si="0"/>
        <v>2780.5140087641021</v>
      </c>
      <c r="X34">
        <f t="shared" si="1"/>
        <v>7731258.1529334169</v>
      </c>
      <c r="Z34" s="10"/>
      <c r="AO34" s="45" t="s">
        <v>132</v>
      </c>
      <c r="AP34" s="45">
        <v>2019</v>
      </c>
      <c r="AQ34" s="2">
        <f t="shared" si="8"/>
        <v>31</v>
      </c>
      <c r="AR34" s="17">
        <v>10167</v>
      </c>
      <c r="AS34">
        <f t="shared" si="18"/>
        <v>10058</v>
      </c>
      <c r="AT34">
        <f t="shared" si="19"/>
        <v>10424.25</v>
      </c>
      <c r="AU34">
        <f t="shared" si="20"/>
        <v>0.97532196560903661</v>
      </c>
      <c r="AV34">
        <f t="shared" si="4"/>
        <v>1.0362141742586009</v>
      </c>
      <c r="AW34">
        <f t="shared" si="5"/>
        <v>9811.678176738289</v>
      </c>
      <c r="AX34">
        <f t="shared" si="9"/>
        <v>13076.46837935174</v>
      </c>
      <c r="AY34">
        <f t="shared" si="6"/>
        <v>13550.021883928668</v>
      </c>
    </row>
    <row r="35" spans="1:51" x14ac:dyDescent="0.2">
      <c r="A35" s="54">
        <f t="shared" si="7"/>
        <v>32</v>
      </c>
      <c r="B35" s="10">
        <f>40232-SUM(B32:B34)</f>
        <v>12193</v>
      </c>
      <c r="D35" s="55">
        <f t="shared" si="10"/>
        <v>9719</v>
      </c>
      <c r="E35" s="4">
        <f t="shared" si="11"/>
        <v>2474</v>
      </c>
      <c r="F35" s="57">
        <f t="shared" si="12"/>
        <v>94458961</v>
      </c>
      <c r="H35" s="55">
        <f t="shared" si="13"/>
        <v>9346.3333333333339</v>
      </c>
      <c r="I35" s="4">
        <f t="shared" si="14"/>
        <v>2846.6666666666661</v>
      </c>
      <c r="J35" s="57">
        <f t="shared" si="21"/>
        <v>8103511.1111111073</v>
      </c>
      <c r="L35" s="55">
        <f t="shared" si="22"/>
        <v>9516.75</v>
      </c>
      <c r="M35" s="4">
        <f t="shared" si="23"/>
        <v>2676.25</v>
      </c>
      <c r="N35" s="57">
        <f t="shared" si="24"/>
        <v>7162314.0625</v>
      </c>
      <c r="P35" s="55">
        <f t="shared" si="15"/>
        <v>9901.8296400112631</v>
      </c>
      <c r="Q35" s="4">
        <f t="shared" si="16"/>
        <v>2291.1703599887369</v>
      </c>
      <c r="R35" s="4">
        <f t="shared" si="17"/>
        <v>5249461.6184909185</v>
      </c>
      <c r="T35" s="10"/>
      <c r="V35" s="9">
        <f t="shared" si="2"/>
        <v>7803.5630925505129</v>
      </c>
      <c r="W35">
        <f t="shared" si="0"/>
        <v>4389.4369074494871</v>
      </c>
      <c r="X35">
        <f t="shared" si="1"/>
        <v>19267156.364479717</v>
      </c>
      <c r="Z35" s="10"/>
      <c r="AO35" s="45" t="s">
        <v>133</v>
      </c>
      <c r="AP35" s="45">
        <v>2019</v>
      </c>
      <c r="AQ35" s="2">
        <f t="shared" si="8"/>
        <v>32</v>
      </c>
      <c r="AR35" s="17">
        <f>40232-SUM(AR32:AR34)</f>
        <v>12193</v>
      </c>
      <c r="AS35">
        <f t="shared" si="18"/>
        <v>10790.5</v>
      </c>
      <c r="AT35">
        <f t="shared" si="19"/>
        <v>11357.375</v>
      </c>
      <c r="AU35">
        <f t="shared" si="20"/>
        <v>1.0735755401226075</v>
      </c>
      <c r="AV35">
        <f t="shared" si="4"/>
        <v>1.161111685686443</v>
      </c>
      <c r="AW35">
        <f t="shared" si="5"/>
        <v>10501.143128872709</v>
      </c>
      <c r="AX35">
        <f t="shared" si="9"/>
        <v>13596.786266506602</v>
      </c>
      <c r="AY35">
        <f t="shared" si="6"/>
        <v>15787.387421821759</v>
      </c>
    </row>
    <row r="36" spans="1:51" x14ac:dyDescent="0.2">
      <c r="A36" s="54">
        <f t="shared" si="7"/>
        <v>33</v>
      </c>
      <c r="B36" s="10">
        <v>11531</v>
      </c>
      <c r="D36" s="55">
        <f t="shared" si="10"/>
        <v>11180</v>
      </c>
      <c r="E36" s="4">
        <f t="shared" si="11"/>
        <v>351</v>
      </c>
      <c r="F36" s="57">
        <f t="shared" si="12"/>
        <v>124992400</v>
      </c>
      <c r="H36" s="55">
        <f t="shared" si="13"/>
        <v>10543.666666666666</v>
      </c>
      <c r="I36" s="4">
        <f t="shared" si="14"/>
        <v>987.33333333333394</v>
      </c>
      <c r="J36" s="57">
        <f t="shared" si="21"/>
        <v>974827.11111111229</v>
      </c>
      <c r="L36" s="55">
        <f t="shared" si="22"/>
        <v>10058</v>
      </c>
      <c r="M36" s="4">
        <f t="shared" si="23"/>
        <v>1473</v>
      </c>
      <c r="N36" s="57">
        <f t="shared" si="24"/>
        <v>2169729</v>
      </c>
      <c r="P36" s="55">
        <f t="shared" si="15"/>
        <v>11593.40719940047</v>
      </c>
      <c r="Q36" s="4">
        <f t="shared" si="16"/>
        <v>62.407199400469835</v>
      </c>
      <c r="R36" s="4">
        <f t="shared" si="17"/>
        <v>3894.6585370100024</v>
      </c>
      <c r="T36" s="10"/>
      <c r="V36" s="9">
        <f t="shared" si="2"/>
        <v>8461.9786286679355</v>
      </c>
      <c r="W36">
        <f t="shared" ref="W36:W53" si="25">ABS(B36-V36)</f>
        <v>3069.0213713320645</v>
      </c>
      <c r="X36">
        <f t="shared" ref="X36:X53" si="26">(B36-V36)^2</f>
        <v>9418892.177692946</v>
      </c>
      <c r="Z36" s="10"/>
      <c r="AO36" s="45" t="s">
        <v>130</v>
      </c>
      <c r="AP36" s="45">
        <v>2020</v>
      </c>
      <c r="AQ36" s="2">
        <f t="shared" si="8"/>
        <v>33</v>
      </c>
      <c r="AR36" s="17">
        <v>11531</v>
      </c>
      <c r="AS36">
        <f t="shared" si="18"/>
        <v>11924.25</v>
      </c>
      <c r="AT36">
        <f t="shared" si="19"/>
        <v>12491.5</v>
      </c>
      <c r="AU36">
        <f t="shared" si="20"/>
        <v>0.92310771324500662</v>
      </c>
      <c r="AV36">
        <f t="shared" si="4"/>
        <v>0.94240102045102947</v>
      </c>
      <c r="AW36">
        <f t="shared" si="5"/>
        <v>12235.767735566869</v>
      </c>
      <c r="AX36">
        <f t="shared" si="9"/>
        <v>14117.104153661465</v>
      </c>
      <c r="AY36">
        <f t="shared" si="6"/>
        <v>13303.97336022403</v>
      </c>
    </row>
    <row r="37" spans="1:51" x14ac:dyDescent="0.2">
      <c r="A37" s="54">
        <f t="shared" si="7"/>
        <v>34</v>
      </c>
      <c r="B37" s="10">
        <v>13806</v>
      </c>
      <c r="D37" s="55">
        <f t="shared" si="10"/>
        <v>11862</v>
      </c>
      <c r="E37" s="4">
        <f t="shared" si="11"/>
        <v>1944</v>
      </c>
      <c r="F37" s="57">
        <f t="shared" si="12"/>
        <v>140707044</v>
      </c>
      <c r="H37" s="55">
        <f t="shared" si="13"/>
        <v>11297</v>
      </c>
      <c r="I37" s="4">
        <f t="shared" si="14"/>
        <v>2509</v>
      </c>
      <c r="J37" s="57">
        <f t="shared" si="21"/>
        <v>6295081</v>
      </c>
      <c r="L37" s="55">
        <f t="shared" si="22"/>
        <v>10790.5</v>
      </c>
      <c r="M37" s="4">
        <f t="shared" si="23"/>
        <v>3015.5</v>
      </c>
      <c r="N37" s="57">
        <f t="shared" si="24"/>
        <v>9093240.25</v>
      </c>
      <c r="P37" s="55">
        <f t="shared" si="15"/>
        <v>11726.918279366677</v>
      </c>
      <c r="Q37" s="4">
        <f t="shared" si="16"/>
        <v>2079.0817206333231</v>
      </c>
      <c r="R37" s="4">
        <f t="shared" si="17"/>
        <v>4322580.8010716196</v>
      </c>
      <c r="T37" s="10"/>
      <c r="V37" s="9">
        <f t="shared" ref="V37:V53" si="27">$Z$2*B36+(1-$Z$2)*V36</f>
        <v>8922.3318343677456</v>
      </c>
      <c r="W37">
        <f t="shared" si="25"/>
        <v>4883.6681656322544</v>
      </c>
      <c r="X37">
        <f t="shared" si="26"/>
        <v>23850214.75200991</v>
      </c>
      <c r="Z37" s="10"/>
      <c r="AO37" s="45" t="s">
        <v>131</v>
      </c>
      <c r="AP37" s="45">
        <v>2020</v>
      </c>
      <c r="AQ37" s="2">
        <f t="shared" si="8"/>
        <v>34</v>
      </c>
      <c r="AR37" s="17">
        <v>13806</v>
      </c>
      <c r="AS37">
        <f t="shared" si="18"/>
        <v>13058.75</v>
      </c>
      <c r="AT37">
        <f t="shared" si="19"/>
        <v>13844</v>
      </c>
      <c r="AU37">
        <f t="shared" si="20"/>
        <v>0.9972551285755562</v>
      </c>
      <c r="AV37">
        <f t="shared" si="4"/>
        <v>0.93250357690448427</v>
      </c>
      <c r="AW37">
        <f t="shared" si="5"/>
        <v>14805.305139772283</v>
      </c>
      <c r="AX37">
        <f t="shared" si="9"/>
        <v>14637.422040816327</v>
      </c>
      <c r="AY37">
        <f t="shared" si="6"/>
        <v>13649.448409721761</v>
      </c>
    </row>
    <row r="38" spans="1:51" x14ac:dyDescent="0.2">
      <c r="A38" s="54">
        <f t="shared" si="7"/>
        <v>35</v>
      </c>
      <c r="B38" s="10">
        <v>14705</v>
      </c>
      <c r="D38" s="55">
        <f t="shared" si="10"/>
        <v>12668.5</v>
      </c>
      <c r="E38" s="4">
        <f t="shared" si="11"/>
        <v>2036.5</v>
      </c>
      <c r="F38" s="57">
        <f t="shared" si="12"/>
        <v>160490892.25</v>
      </c>
      <c r="H38" s="55">
        <f t="shared" si="13"/>
        <v>12510</v>
      </c>
      <c r="I38" s="4">
        <f t="shared" si="14"/>
        <v>2195</v>
      </c>
      <c r="J38" s="57">
        <f t="shared" si="21"/>
        <v>4818025</v>
      </c>
      <c r="L38" s="55">
        <f t="shared" si="22"/>
        <v>11924.25</v>
      </c>
      <c r="M38" s="4">
        <f t="shared" si="23"/>
        <v>2780.75</v>
      </c>
      <c r="N38" s="57">
        <f t="shared" si="24"/>
        <v>7732570.5625</v>
      </c>
      <c r="P38" s="55">
        <f t="shared" si="15"/>
        <v>13132.715882841099</v>
      </c>
      <c r="Q38" s="4">
        <f t="shared" si="16"/>
        <v>1572.2841171589007</v>
      </c>
      <c r="R38" s="4">
        <f t="shared" si="17"/>
        <v>2472077.3450701437</v>
      </c>
      <c r="T38" s="10"/>
      <c r="V38" s="9">
        <f t="shared" si="27"/>
        <v>9654.882059212583</v>
      </c>
      <c r="W38">
        <f t="shared" si="25"/>
        <v>5050.117940787417</v>
      </c>
      <c r="X38">
        <f t="shared" si="26"/>
        <v>25503691.215862941</v>
      </c>
      <c r="Z38" s="10"/>
      <c r="AO38" s="45" t="s">
        <v>132</v>
      </c>
      <c r="AP38" s="45">
        <v>2020</v>
      </c>
      <c r="AQ38" s="2">
        <f t="shared" si="8"/>
        <v>35</v>
      </c>
      <c r="AR38" s="17">
        <v>14705</v>
      </c>
      <c r="AS38">
        <f t="shared" si="18"/>
        <v>14629.25</v>
      </c>
      <c r="AT38">
        <f t="shared" si="19"/>
        <v>15254.125</v>
      </c>
      <c r="AU38">
        <f t="shared" si="20"/>
        <v>0.9640015405668958</v>
      </c>
      <c r="AV38">
        <f t="shared" si="4"/>
        <v>1.0362141742586009</v>
      </c>
      <c r="AW38">
        <f t="shared" si="5"/>
        <v>14191.081694593935</v>
      </c>
      <c r="AX38">
        <f t="shared" si="9"/>
        <v>15157.73992797119</v>
      </c>
      <c r="AY38">
        <f t="shared" si="6"/>
        <v>15706.66496308929</v>
      </c>
    </row>
    <row r="39" spans="1:51" x14ac:dyDescent="0.2">
      <c r="A39" s="54">
        <f t="shared" si="7"/>
        <v>36</v>
      </c>
      <c r="B39" s="10">
        <f>58517-SUM(B36:B38)</f>
        <v>18475</v>
      </c>
      <c r="D39" s="55">
        <f t="shared" si="10"/>
        <v>14255.5</v>
      </c>
      <c r="E39" s="4">
        <f t="shared" si="11"/>
        <v>4219.5</v>
      </c>
      <c r="F39" s="57">
        <f t="shared" si="12"/>
        <v>203219280.25</v>
      </c>
      <c r="H39" s="55">
        <f t="shared" si="13"/>
        <v>13347.333333333334</v>
      </c>
      <c r="I39" s="4">
        <f t="shared" si="14"/>
        <v>5127.6666666666661</v>
      </c>
      <c r="J39" s="57">
        <f t="shared" si="21"/>
        <v>26292965.444444437</v>
      </c>
      <c r="L39" s="55">
        <f t="shared" si="22"/>
        <v>13058.75</v>
      </c>
      <c r="M39" s="4">
        <f t="shared" si="23"/>
        <v>5416.25</v>
      </c>
      <c r="N39" s="57">
        <f t="shared" si="24"/>
        <v>29335764.0625</v>
      </c>
      <c r="P39" s="55">
        <f t="shared" si="15"/>
        <v>14438.941792823802</v>
      </c>
      <c r="Q39" s="4">
        <f t="shared" si="16"/>
        <v>4036.0582071761983</v>
      </c>
      <c r="R39" s="4">
        <f t="shared" si="17"/>
        <v>16289765.851714348</v>
      </c>
      <c r="T39" s="10"/>
      <c r="V39" s="9">
        <f t="shared" si="27"/>
        <v>10412.399750330695</v>
      </c>
      <c r="W39">
        <f t="shared" si="25"/>
        <v>8062.6002496693054</v>
      </c>
      <c r="X39">
        <f t="shared" si="26"/>
        <v>65005522.785967544</v>
      </c>
      <c r="Z39" s="10"/>
      <c r="AO39" s="45" t="s">
        <v>133</v>
      </c>
      <c r="AP39" s="45">
        <v>2020</v>
      </c>
      <c r="AQ39" s="2">
        <f t="shared" si="8"/>
        <v>36</v>
      </c>
      <c r="AR39" s="17">
        <f>58517-SUM(AR36:AR38)</f>
        <v>18475</v>
      </c>
      <c r="AS39">
        <f t="shared" si="18"/>
        <v>15879</v>
      </c>
      <c r="AT39">
        <f t="shared" si="19"/>
        <v>16358</v>
      </c>
      <c r="AU39">
        <f t="shared" si="20"/>
        <v>1.1294167991196968</v>
      </c>
      <c r="AV39">
        <f t="shared" si="4"/>
        <v>1.161111685686443</v>
      </c>
      <c r="AW39">
        <f t="shared" si="5"/>
        <v>15911.475379801797</v>
      </c>
      <c r="AX39">
        <f t="shared" si="9"/>
        <v>15678.057815126049</v>
      </c>
      <c r="AY39">
        <f t="shared" si="6"/>
        <v>18203.976138010519</v>
      </c>
    </row>
    <row r="40" spans="1:51" x14ac:dyDescent="0.2">
      <c r="A40" s="54">
        <f t="shared" si="7"/>
        <v>37</v>
      </c>
      <c r="B40" s="10">
        <v>16530</v>
      </c>
      <c r="D40" s="55">
        <f t="shared" si="10"/>
        <v>16590</v>
      </c>
      <c r="E40" s="4">
        <f t="shared" si="11"/>
        <v>60</v>
      </c>
      <c r="F40" s="57">
        <f t="shared" si="12"/>
        <v>271260900</v>
      </c>
      <c r="H40" s="55">
        <f t="shared" si="13"/>
        <v>15662</v>
      </c>
      <c r="I40" s="4">
        <f t="shared" si="14"/>
        <v>868</v>
      </c>
      <c r="J40" s="57">
        <f t="shared" si="21"/>
        <v>753424</v>
      </c>
      <c r="L40" s="55">
        <f t="shared" si="22"/>
        <v>14629.25</v>
      </c>
      <c r="M40" s="4">
        <f t="shared" si="23"/>
        <v>1900.75</v>
      </c>
      <c r="N40" s="57">
        <f t="shared" si="24"/>
        <v>3612850.5625</v>
      </c>
      <c r="P40" s="55">
        <f t="shared" si="15"/>
        <v>17359.272034422396</v>
      </c>
      <c r="Q40" s="4">
        <f t="shared" si="16"/>
        <v>829.27203442239625</v>
      </c>
      <c r="R40" s="4">
        <f t="shared" si="17"/>
        <v>687692.1070750599</v>
      </c>
      <c r="T40" s="10"/>
      <c r="V40" s="9">
        <f t="shared" si="27"/>
        <v>11621.78978778109</v>
      </c>
      <c r="W40">
        <f t="shared" si="25"/>
        <v>4908.2102122189099</v>
      </c>
      <c r="X40">
        <f t="shared" si="26"/>
        <v>24090527.487329997</v>
      </c>
      <c r="Z40" s="10"/>
      <c r="AO40" s="45" t="s">
        <v>130</v>
      </c>
      <c r="AP40" s="45">
        <v>2021</v>
      </c>
      <c r="AQ40" s="2">
        <f t="shared" si="8"/>
        <v>37</v>
      </c>
      <c r="AR40" s="17">
        <v>16530</v>
      </c>
      <c r="AS40">
        <f t="shared" si="18"/>
        <v>16837</v>
      </c>
      <c r="AT40">
        <f t="shared" si="19"/>
        <v>17311.125</v>
      </c>
      <c r="AU40">
        <f t="shared" si="20"/>
        <v>0.95487728267227001</v>
      </c>
      <c r="AV40">
        <f t="shared" si="4"/>
        <v>0.94240102045102947</v>
      </c>
      <c r="AW40">
        <f t="shared" si="5"/>
        <v>17540.303587626429</v>
      </c>
      <c r="AX40">
        <f t="shared" si="9"/>
        <v>16198.375702280911</v>
      </c>
      <c r="AY40">
        <f t="shared" si="6"/>
        <v>15265.365791478693</v>
      </c>
    </row>
    <row r="41" spans="1:51" x14ac:dyDescent="0.2">
      <c r="A41" s="54">
        <f t="shared" si="7"/>
        <v>38</v>
      </c>
      <c r="B41" s="10">
        <v>17638</v>
      </c>
      <c r="D41" s="55">
        <f t="shared" si="10"/>
        <v>17502.5</v>
      </c>
      <c r="E41" s="4">
        <f t="shared" si="11"/>
        <v>135.5</v>
      </c>
      <c r="F41" s="57">
        <f t="shared" si="12"/>
        <v>306337506.25</v>
      </c>
      <c r="H41" s="55">
        <f t="shared" si="13"/>
        <v>16570</v>
      </c>
      <c r="I41" s="4">
        <f t="shared" si="14"/>
        <v>1068</v>
      </c>
      <c r="J41" s="57">
        <f t="shared" si="21"/>
        <v>1140624</v>
      </c>
      <c r="L41" s="55">
        <f t="shared" si="22"/>
        <v>15879</v>
      </c>
      <c r="M41" s="4">
        <f t="shared" si="23"/>
        <v>1759</v>
      </c>
      <c r="N41" s="57">
        <f t="shared" si="24"/>
        <v>3094081</v>
      </c>
      <c r="P41" s="55">
        <f t="shared" si="15"/>
        <v>17105.620926538046</v>
      </c>
      <c r="Q41" s="4">
        <f t="shared" si="16"/>
        <v>532.37907346195425</v>
      </c>
      <c r="R41" s="4">
        <f t="shared" si="17"/>
        <v>283427.47786020889</v>
      </c>
      <c r="T41" s="10"/>
      <c r="V41" s="9">
        <f t="shared" si="27"/>
        <v>12358.021319613927</v>
      </c>
      <c r="W41">
        <f t="shared" si="25"/>
        <v>5279.9786803860734</v>
      </c>
      <c r="X41">
        <f t="shared" si="26"/>
        <v>27878174.86533146</v>
      </c>
      <c r="Z41" s="10"/>
      <c r="AO41" s="45" t="s">
        <v>131</v>
      </c>
      <c r="AP41" s="45">
        <v>2021</v>
      </c>
      <c r="AQ41" s="2">
        <f t="shared" si="8"/>
        <v>38</v>
      </c>
      <c r="AR41" s="17">
        <v>17638</v>
      </c>
      <c r="AS41">
        <f t="shared" si="18"/>
        <v>17785.25</v>
      </c>
      <c r="AT41">
        <f t="shared" si="19"/>
        <v>18281.5</v>
      </c>
      <c r="AU41">
        <f t="shared" si="20"/>
        <v>0.96480048136093866</v>
      </c>
      <c r="AV41">
        <f t="shared" si="4"/>
        <v>0.93250357690448427</v>
      </c>
      <c r="AW41">
        <f t="shared" si="5"/>
        <v>18914.672754983596</v>
      </c>
      <c r="AX41">
        <f t="shared" si="9"/>
        <v>16718.693589435774</v>
      </c>
      <c r="AY41">
        <f t="shared" si="6"/>
        <v>15590.24157331893</v>
      </c>
    </row>
    <row r="42" spans="1:51" x14ac:dyDescent="0.2">
      <c r="A42" s="54">
        <f t="shared" si="7"/>
        <v>39</v>
      </c>
      <c r="B42" s="10">
        <v>18498</v>
      </c>
      <c r="D42" s="55">
        <f t="shared" si="10"/>
        <v>17084</v>
      </c>
      <c r="E42" s="4">
        <f t="shared" si="11"/>
        <v>1414</v>
      </c>
      <c r="F42" s="57">
        <f t="shared" si="12"/>
        <v>291863056</v>
      </c>
      <c r="H42" s="55">
        <f t="shared" si="13"/>
        <v>17547.666666666668</v>
      </c>
      <c r="I42" s="4">
        <f t="shared" si="14"/>
        <v>950.33333333333212</v>
      </c>
      <c r="J42" s="57">
        <f t="shared" si="21"/>
        <v>903133.44444444217</v>
      </c>
      <c r="L42" s="55">
        <f t="shared" si="22"/>
        <v>16837</v>
      </c>
      <c r="M42" s="4">
        <f t="shared" si="23"/>
        <v>1661</v>
      </c>
      <c r="N42" s="57">
        <f t="shared" si="24"/>
        <v>2758921</v>
      </c>
      <c r="P42" s="55">
        <f t="shared" si="15"/>
        <v>17310.088438763927</v>
      </c>
      <c r="Q42" s="4">
        <f t="shared" si="16"/>
        <v>1187.9115612360729</v>
      </c>
      <c r="R42" s="4">
        <f t="shared" si="17"/>
        <v>1411133.8773183241</v>
      </c>
      <c r="T42" s="10"/>
      <c r="V42" s="9">
        <f t="shared" si="27"/>
        <v>13150.018121671837</v>
      </c>
      <c r="W42">
        <f t="shared" si="25"/>
        <v>5347.9818783281626</v>
      </c>
      <c r="X42">
        <f t="shared" si="26"/>
        <v>28600910.170926422</v>
      </c>
      <c r="Z42" s="10"/>
      <c r="AO42" s="45" t="s">
        <v>132</v>
      </c>
      <c r="AP42" s="45">
        <v>2021</v>
      </c>
      <c r="AQ42" s="2">
        <f t="shared" si="8"/>
        <v>39</v>
      </c>
      <c r="AR42" s="17">
        <v>18498</v>
      </c>
      <c r="AS42">
        <f t="shared" si="18"/>
        <v>18777.75</v>
      </c>
      <c r="AT42">
        <f t="shared" si="19"/>
        <v>19245.375</v>
      </c>
      <c r="AU42">
        <f t="shared" si="20"/>
        <v>0.9611659944272325</v>
      </c>
      <c r="AV42">
        <f t="shared" si="4"/>
        <v>1.0362141742586009</v>
      </c>
      <c r="AW42">
        <f t="shared" si="5"/>
        <v>17851.521876001265</v>
      </c>
      <c r="AX42">
        <f t="shared" si="9"/>
        <v>17239.011476590636</v>
      </c>
      <c r="AY42">
        <f t="shared" si="6"/>
        <v>17863.308042249912</v>
      </c>
    </row>
    <row r="43" spans="1:51" x14ac:dyDescent="0.2">
      <c r="A43" s="54">
        <f t="shared" si="7"/>
        <v>40</v>
      </c>
      <c r="B43" s="10">
        <f>75111-(B40+B41+B42)</f>
        <v>22445</v>
      </c>
      <c r="D43" s="55">
        <f t="shared" si="10"/>
        <v>18068</v>
      </c>
      <c r="E43" s="4">
        <f t="shared" si="11"/>
        <v>4377</v>
      </c>
      <c r="F43" s="57">
        <f t="shared" si="12"/>
        <v>326452624</v>
      </c>
      <c r="H43" s="55">
        <f t="shared" si="13"/>
        <v>17555.333333333332</v>
      </c>
      <c r="I43" s="4">
        <f t="shared" si="14"/>
        <v>4889.6666666666679</v>
      </c>
      <c r="J43" s="57">
        <f t="shared" si="21"/>
        <v>23908840.111111123</v>
      </c>
      <c r="L43" s="55">
        <f t="shared" si="22"/>
        <v>17785.25</v>
      </c>
      <c r="M43" s="4">
        <f t="shared" si="23"/>
        <v>4659.75</v>
      </c>
      <c r="N43" s="57">
        <f t="shared" si="24"/>
        <v>21713270.0625</v>
      </c>
      <c r="P43" s="55">
        <f t="shared" si="15"/>
        <v>18243.483806260811</v>
      </c>
      <c r="Q43" s="4">
        <f t="shared" si="16"/>
        <v>4201.5161937391895</v>
      </c>
      <c r="R43" s="4">
        <f t="shared" si="17"/>
        <v>17652738.326252647</v>
      </c>
      <c r="T43" s="10"/>
      <c r="V43" s="9">
        <f t="shared" si="27"/>
        <v>13952.215403421062</v>
      </c>
      <c r="W43">
        <f t="shared" si="25"/>
        <v>8492.7845965789384</v>
      </c>
      <c r="X43">
        <f t="shared" si="26"/>
        <v>72127390.203888476</v>
      </c>
      <c r="Z43" s="10"/>
      <c r="AO43" s="45" t="s">
        <v>133</v>
      </c>
      <c r="AP43" s="45">
        <v>2021</v>
      </c>
      <c r="AQ43" s="2">
        <f t="shared" si="8"/>
        <v>40</v>
      </c>
      <c r="AR43" s="17">
        <f>75111-(AR40+AR41+AR42)</f>
        <v>22445</v>
      </c>
      <c r="AS43">
        <f t="shared" si="18"/>
        <v>19713</v>
      </c>
      <c r="AT43">
        <f t="shared" si="19"/>
        <v>20051</v>
      </c>
      <c r="AU43">
        <f t="shared" si="20"/>
        <v>1.1193955413695078</v>
      </c>
      <c r="AV43">
        <f t="shared" si="4"/>
        <v>1.161111685686443</v>
      </c>
      <c r="AW43">
        <f t="shared" si="5"/>
        <v>19330.61244382416</v>
      </c>
      <c r="AX43">
        <f t="shared" si="9"/>
        <v>17759.329363745499</v>
      </c>
      <c r="AY43">
        <f t="shared" si="6"/>
        <v>20620.564854199281</v>
      </c>
    </row>
    <row r="44" spans="1:51" x14ac:dyDescent="0.2">
      <c r="A44" s="54">
        <f t="shared" si="7"/>
        <v>41</v>
      </c>
      <c r="B44" s="10">
        <v>20271</v>
      </c>
      <c r="D44" s="55">
        <f t="shared" si="10"/>
        <v>20471.5</v>
      </c>
      <c r="E44" s="4">
        <f t="shared" si="11"/>
        <v>200.5</v>
      </c>
      <c r="F44" s="57">
        <f t="shared" si="12"/>
        <v>402824970.25</v>
      </c>
      <c r="H44" s="55">
        <f t="shared" si="13"/>
        <v>19527</v>
      </c>
      <c r="I44" s="4">
        <f t="shared" si="14"/>
        <v>744</v>
      </c>
      <c r="J44" s="57">
        <f t="shared" si="21"/>
        <v>553536</v>
      </c>
      <c r="L44" s="55">
        <f t="shared" si="22"/>
        <v>18777.75</v>
      </c>
      <c r="M44" s="4">
        <f t="shared" si="23"/>
        <v>1493.25</v>
      </c>
      <c r="N44" s="57">
        <f t="shared" si="24"/>
        <v>2229795.5625</v>
      </c>
      <c r="P44" s="55">
        <f t="shared" si="15"/>
        <v>21276.889050362122</v>
      </c>
      <c r="Q44" s="4">
        <f t="shared" si="16"/>
        <v>1005.8890503621224</v>
      </c>
      <c r="R44" s="4">
        <f t="shared" si="17"/>
        <v>1011812.7816384124</v>
      </c>
      <c r="T44" s="10"/>
      <c r="V44" s="9">
        <f t="shared" si="27"/>
        <v>15226.133092907901</v>
      </c>
      <c r="W44">
        <f t="shared" si="25"/>
        <v>5044.8669070920987</v>
      </c>
      <c r="X44">
        <f t="shared" si="26"/>
        <v>25450682.110273</v>
      </c>
      <c r="Z44" s="10"/>
      <c r="AO44" s="45" t="s">
        <v>130</v>
      </c>
      <c r="AP44" s="45">
        <v>2022</v>
      </c>
      <c r="AQ44" s="2">
        <f t="shared" si="8"/>
        <v>41</v>
      </c>
      <c r="AR44" s="17">
        <v>20271</v>
      </c>
      <c r="AS44">
        <f t="shared" si="18"/>
        <v>20389</v>
      </c>
      <c r="AT44">
        <f t="shared" si="19"/>
        <v>20649.625</v>
      </c>
      <c r="AU44">
        <f t="shared" si="20"/>
        <v>0.98166431593794079</v>
      </c>
      <c r="AV44">
        <f t="shared" si="4"/>
        <v>0.94240102045102947</v>
      </c>
      <c r="AW44">
        <f t="shared" si="5"/>
        <v>21509.951241668201</v>
      </c>
      <c r="AX44">
        <f t="shared" si="9"/>
        <v>18279.647250900362</v>
      </c>
      <c r="AY44">
        <f t="shared" si="6"/>
        <v>17226.758222733355</v>
      </c>
    </row>
    <row r="45" spans="1:51" x14ac:dyDescent="0.2">
      <c r="A45" s="54">
        <f t="shared" si="7"/>
        <v>42</v>
      </c>
      <c r="B45" s="10">
        <v>20342</v>
      </c>
      <c r="D45" s="55">
        <f t="shared" si="10"/>
        <v>21358</v>
      </c>
      <c r="E45" s="4">
        <f t="shared" si="11"/>
        <v>1016</v>
      </c>
      <c r="F45" s="57">
        <f t="shared" si="12"/>
        <v>373494276</v>
      </c>
      <c r="H45" s="55">
        <f t="shared" si="13"/>
        <v>20404.666666666668</v>
      </c>
      <c r="I45" s="4">
        <f t="shared" si="14"/>
        <v>62.666666666667879</v>
      </c>
      <c r="J45" s="57">
        <f t="shared" si="21"/>
        <v>3927.1111111112632</v>
      </c>
      <c r="L45" s="55">
        <f t="shared" si="22"/>
        <v>19713</v>
      </c>
      <c r="M45" s="4">
        <f t="shared" si="23"/>
        <v>629</v>
      </c>
      <c r="N45" s="57">
        <f t="shared" si="24"/>
        <v>395641</v>
      </c>
      <c r="P45" s="55">
        <f t="shared" si="15"/>
        <v>20914.393261847668</v>
      </c>
      <c r="Q45" s="4">
        <f t="shared" si="16"/>
        <v>572.39326184766833</v>
      </c>
      <c r="R45" s="4">
        <f t="shared" si="17"/>
        <v>327634.04620861338</v>
      </c>
      <c r="T45" s="10"/>
      <c r="V45" s="9">
        <f t="shared" si="27"/>
        <v>15982.863128971716</v>
      </c>
      <c r="W45">
        <f t="shared" si="25"/>
        <v>4359.1368710282841</v>
      </c>
      <c r="X45">
        <f t="shared" si="26"/>
        <v>19002074.260358259</v>
      </c>
      <c r="Z45" s="10"/>
      <c r="AO45" s="45" t="s">
        <v>131</v>
      </c>
      <c r="AP45" s="45">
        <v>2022</v>
      </c>
      <c r="AQ45" s="2">
        <f t="shared" si="8"/>
        <v>42</v>
      </c>
      <c r="AR45" s="17">
        <v>20342</v>
      </c>
      <c r="AS45">
        <f t="shared" si="18"/>
        <v>20910.25</v>
      </c>
      <c r="AT45">
        <f t="shared" si="19"/>
        <v>20992.5</v>
      </c>
      <c r="AU45">
        <f t="shared" si="20"/>
        <v>0.9690127426461832</v>
      </c>
      <c r="AV45">
        <f t="shared" si="4"/>
        <v>0.93250357690448427</v>
      </c>
      <c r="AW45">
        <f t="shared" si="5"/>
        <v>21814.393535654628</v>
      </c>
      <c r="AX45">
        <f t="shared" si="9"/>
        <v>18799.96513805522</v>
      </c>
      <c r="AY45">
        <f t="shared" si="6"/>
        <v>17531.034736916099</v>
      </c>
    </row>
    <row r="46" spans="1:51" x14ac:dyDescent="0.2">
      <c r="A46" s="54">
        <f t="shared" si="7"/>
        <v>43</v>
      </c>
      <c r="B46" s="10">
        <v>20583</v>
      </c>
      <c r="D46" s="55">
        <f t="shared" si="10"/>
        <v>20306.5</v>
      </c>
      <c r="E46" s="4">
        <f t="shared" si="11"/>
        <v>276.5</v>
      </c>
      <c r="F46" s="57">
        <f t="shared" si="12"/>
        <v>412353942.25</v>
      </c>
      <c r="H46" s="55">
        <f t="shared" si="13"/>
        <v>21019.333333333332</v>
      </c>
      <c r="I46" s="4">
        <f t="shared" si="14"/>
        <v>436.33333333333212</v>
      </c>
      <c r="J46" s="57">
        <f t="shared" si="21"/>
        <v>190386.77777777673</v>
      </c>
      <c r="L46" s="55">
        <f t="shared" si="22"/>
        <v>20389</v>
      </c>
      <c r="M46" s="4">
        <f t="shared" si="23"/>
        <v>194</v>
      </c>
      <c r="N46" s="57">
        <f t="shared" si="24"/>
        <v>37636</v>
      </c>
      <c r="P46" s="55">
        <f t="shared" si="15"/>
        <v>20320.98761656339</v>
      </c>
      <c r="Q46" s="4">
        <f t="shared" si="16"/>
        <v>262.01238343660953</v>
      </c>
      <c r="R46" s="4">
        <f t="shared" si="17"/>
        <v>68650.4890741329</v>
      </c>
      <c r="T46" s="10"/>
      <c r="V46" s="9">
        <f t="shared" si="27"/>
        <v>16636.733659625959</v>
      </c>
      <c r="W46">
        <f t="shared" si="25"/>
        <v>3946.2663403740407</v>
      </c>
      <c r="X46">
        <f t="shared" si="26"/>
        <v>15573018.029169124</v>
      </c>
      <c r="Z46" s="10"/>
      <c r="AO46" s="45" t="s">
        <v>132</v>
      </c>
      <c r="AP46" s="45">
        <v>2022</v>
      </c>
      <c r="AQ46" s="2">
        <f t="shared" si="8"/>
        <v>43</v>
      </c>
      <c r="AR46" s="17">
        <v>20583</v>
      </c>
      <c r="AS46">
        <f t="shared" si="18"/>
        <v>21074.75</v>
      </c>
      <c r="AT46">
        <f t="shared" si="19"/>
        <v>21154</v>
      </c>
      <c r="AU46">
        <f t="shared" si="20"/>
        <v>0.97300746903658886</v>
      </c>
      <c r="AV46">
        <f t="shared" si="4"/>
        <v>1.0362141742586009</v>
      </c>
      <c r="AW46">
        <f t="shared" si="5"/>
        <v>19863.654166598229</v>
      </c>
      <c r="AX46">
        <f t="shared" si="9"/>
        <v>19320.283025210083</v>
      </c>
      <c r="AY46">
        <f t="shared" si="6"/>
        <v>20019.95112141053</v>
      </c>
    </row>
    <row r="47" spans="1:51" x14ac:dyDescent="0.2">
      <c r="A47" s="54">
        <f t="shared" si="7"/>
        <v>44</v>
      </c>
      <c r="B47" s="10">
        <f>84299-SUM(B44:B46)</f>
        <v>23103</v>
      </c>
      <c r="D47" s="55">
        <f t="shared" si="10"/>
        <v>20462.5</v>
      </c>
      <c r="E47" s="4">
        <f t="shared" si="11"/>
        <v>2640.5</v>
      </c>
      <c r="F47" s="57">
        <f t="shared" si="12"/>
        <v>418713906.25</v>
      </c>
      <c r="H47" s="55">
        <f t="shared" si="13"/>
        <v>20398.666666666668</v>
      </c>
      <c r="I47" s="4">
        <f t="shared" si="14"/>
        <v>2704.3333333333321</v>
      </c>
      <c r="J47" s="57">
        <f t="shared" si="21"/>
        <v>7313418.7777777715</v>
      </c>
      <c r="L47" s="55">
        <f t="shared" si="22"/>
        <v>20910.25</v>
      </c>
      <c r="M47" s="4">
        <f t="shared" si="23"/>
        <v>2192.75</v>
      </c>
      <c r="N47" s="57">
        <f t="shared" si="24"/>
        <v>4808152.5625</v>
      </c>
      <c r="P47" s="55">
        <f t="shared" si="15"/>
        <v>20511.676275940528</v>
      </c>
      <c r="Q47" s="4">
        <f t="shared" si="16"/>
        <v>2591.3237240594717</v>
      </c>
      <c r="R47" s="4">
        <f t="shared" si="17"/>
        <v>6714958.6428734493</v>
      </c>
      <c r="T47" s="10"/>
      <c r="V47" s="9">
        <f t="shared" si="27"/>
        <v>17228.673610682064</v>
      </c>
      <c r="W47">
        <f t="shared" si="25"/>
        <v>5874.3263893179355</v>
      </c>
      <c r="X47">
        <f t="shared" si="26"/>
        <v>34507710.528237097</v>
      </c>
      <c r="Z47" s="10"/>
      <c r="AO47" s="45" t="s">
        <v>133</v>
      </c>
      <c r="AP47" s="45">
        <v>2022</v>
      </c>
      <c r="AQ47" s="2">
        <f t="shared" si="8"/>
        <v>44</v>
      </c>
      <c r="AR47" s="17">
        <f>84299-SUM(AR44:AR46)</f>
        <v>23103</v>
      </c>
      <c r="AS47">
        <f t="shared" si="18"/>
        <v>21233.25</v>
      </c>
      <c r="AT47">
        <f t="shared" si="19"/>
        <v>21353.625</v>
      </c>
      <c r="AU47">
        <f t="shared" si="20"/>
        <v>1.0819240292924504</v>
      </c>
      <c r="AV47">
        <f t="shared" si="4"/>
        <v>1.161111685686443</v>
      </c>
      <c r="AW47">
        <f t="shared" si="5"/>
        <v>19897.31072798706</v>
      </c>
      <c r="AX47">
        <f t="shared" si="9"/>
        <v>19840.600912364946</v>
      </c>
      <c r="AY47">
        <f t="shared" si="6"/>
        <v>23037.15357038804</v>
      </c>
    </row>
    <row r="48" spans="1:51" x14ac:dyDescent="0.2">
      <c r="A48" s="54">
        <f t="shared" si="7"/>
        <v>45</v>
      </c>
      <c r="B48" s="10">
        <v>20905</v>
      </c>
      <c r="D48" s="55">
        <f t="shared" si="10"/>
        <v>21843</v>
      </c>
      <c r="E48" s="4">
        <f t="shared" si="11"/>
        <v>938</v>
      </c>
      <c r="F48" s="57">
        <f t="shared" si="12"/>
        <v>398681089</v>
      </c>
      <c r="H48" s="55">
        <f t="shared" si="13"/>
        <v>21342.666666666668</v>
      </c>
      <c r="I48" s="4">
        <f t="shared" si="14"/>
        <v>437.66666666666788</v>
      </c>
      <c r="J48" s="57">
        <f t="shared" si="21"/>
        <v>191552.11111111217</v>
      </c>
      <c r="L48" s="55">
        <f t="shared" si="22"/>
        <v>21074.75</v>
      </c>
      <c r="M48" s="4">
        <f t="shared" si="23"/>
        <v>169.75</v>
      </c>
      <c r="N48" s="57">
        <f t="shared" si="24"/>
        <v>28815.0625</v>
      </c>
      <c r="P48" s="55">
        <f t="shared" si="15"/>
        <v>22357.208362531681</v>
      </c>
      <c r="Q48" s="4">
        <f t="shared" si="16"/>
        <v>1452.2083625316809</v>
      </c>
      <c r="R48" s="4">
        <f t="shared" si="17"/>
        <v>2108909.128206946</v>
      </c>
      <c r="T48" s="10"/>
      <c r="V48" s="9">
        <f t="shared" si="27"/>
        <v>18109.822569079755</v>
      </c>
      <c r="W48">
        <f t="shared" si="25"/>
        <v>2795.1774309202447</v>
      </c>
      <c r="X48">
        <f t="shared" si="26"/>
        <v>7813016.8703258988</v>
      </c>
      <c r="Z48" s="10"/>
      <c r="AO48" s="45" t="s">
        <v>130</v>
      </c>
      <c r="AP48" s="45">
        <v>2023</v>
      </c>
      <c r="AQ48" s="2">
        <f t="shared" si="8"/>
        <v>45</v>
      </c>
      <c r="AR48" s="17">
        <v>20905</v>
      </c>
      <c r="AS48">
        <f t="shared" si="18"/>
        <v>21474</v>
      </c>
      <c r="AT48">
        <f t="shared" si="19"/>
        <v>21690.375</v>
      </c>
      <c r="AU48">
        <f t="shared" si="20"/>
        <v>0.96379154348414908</v>
      </c>
      <c r="AV48">
        <f t="shared" si="4"/>
        <v>0.94240102045102947</v>
      </c>
      <c r="AW48">
        <f t="shared" si="5"/>
        <v>22182.700937648548</v>
      </c>
      <c r="AX48">
        <f t="shared" si="9"/>
        <v>20360.918799519808</v>
      </c>
      <c r="AY48">
        <f t="shared" si="6"/>
        <v>19188.150653988017</v>
      </c>
    </row>
    <row r="49" spans="1:53" x14ac:dyDescent="0.2">
      <c r="A49" s="54">
        <f t="shared" si="7"/>
        <v>46</v>
      </c>
      <c r="B49" s="10">
        <v>21305</v>
      </c>
      <c r="D49" s="55">
        <f t="shared" si="10"/>
        <v>22004</v>
      </c>
      <c r="E49" s="4">
        <f t="shared" si="11"/>
        <v>699</v>
      </c>
      <c r="F49" s="57">
        <f t="shared" si="12"/>
        <v>424607236</v>
      </c>
      <c r="H49" s="55">
        <f t="shared" si="13"/>
        <v>21530.333333333332</v>
      </c>
      <c r="I49" s="4">
        <f t="shared" si="14"/>
        <v>225.33333333333212</v>
      </c>
      <c r="J49" s="57">
        <f t="shared" si="21"/>
        <v>50775.111111110564</v>
      </c>
      <c r="L49" s="55">
        <f t="shared" si="22"/>
        <v>21233.25</v>
      </c>
      <c r="M49" s="4">
        <f t="shared" si="23"/>
        <v>71.75</v>
      </c>
      <c r="N49" s="57">
        <f t="shared" si="24"/>
        <v>5148.0625</v>
      </c>
      <c r="P49" s="55">
        <f t="shared" si="15"/>
        <v>21555.496039347363</v>
      </c>
      <c r="Q49" s="4">
        <f t="shared" si="16"/>
        <v>250.49603934736297</v>
      </c>
      <c r="R49" s="4">
        <f t="shared" si="17"/>
        <v>62748.265728715618</v>
      </c>
      <c r="T49" s="10"/>
      <c r="V49" s="9">
        <f t="shared" si="27"/>
        <v>18529.099183717793</v>
      </c>
      <c r="W49">
        <f t="shared" si="25"/>
        <v>2775.9008162822065</v>
      </c>
      <c r="X49">
        <f t="shared" si="26"/>
        <v>7705625.3418362206</v>
      </c>
      <c r="Z49" s="10"/>
      <c r="AO49" s="45" t="s">
        <v>131</v>
      </c>
      <c r="AP49" s="45">
        <v>2023</v>
      </c>
      <c r="AQ49" s="2">
        <f t="shared" si="8"/>
        <v>46</v>
      </c>
      <c r="AR49" s="17">
        <v>21305</v>
      </c>
      <c r="AS49">
        <f t="shared" si="18"/>
        <v>21906.75</v>
      </c>
      <c r="AT49">
        <f t="shared" si="19"/>
        <v>22280.75</v>
      </c>
      <c r="AU49">
        <f t="shared" si="20"/>
        <v>0.95620659089124016</v>
      </c>
      <c r="AV49">
        <f t="shared" si="4"/>
        <v>0.93250357690448427</v>
      </c>
      <c r="AW49">
        <f t="shared" si="5"/>
        <v>22847.097349185027</v>
      </c>
      <c r="AX49">
        <f t="shared" si="9"/>
        <v>20881.236686674671</v>
      </c>
      <c r="AY49">
        <f t="shared" si="6"/>
        <v>19471.827900513272</v>
      </c>
    </row>
    <row r="50" spans="1:53" x14ac:dyDescent="0.2">
      <c r="A50" s="54">
        <f t="shared" si="7"/>
        <v>47</v>
      </c>
      <c r="B50" s="10">
        <v>22314</v>
      </c>
      <c r="D50" s="55">
        <f t="shared" si="10"/>
        <v>21105</v>
      </c>
      <c r="E50" s="4">
        <f t="shared" si="11"/>
        <v>1209</v>
      </c>
      <c r="F50" s="57">
        <f t="shared" si="12"/>
        <v>445421025</v>
      </c>
      <c r="H50" s="55">
        <f t="shared" si="13"/>
        <v>21771</v>
      </c>
      <c r="I50" s="4">
        <f t="shared" si="14"/>
        <v>543</v>
      </c>
      <c r="J50" s="57">
        <f t="shared" si="21"/>
        <v>294849</v>
      </c>
      <c r="L50" s="55">
        <f t="shared" si="22"/>
        <v>21474</v>
      </c>
      <c r="M50" s="4">
        <f t="shared" si="23"/>
        <v>840</v>
      </c>
      <c r="N50" s="57">
        <f t="shared" si="24"/>
        <v>705600</v>
      </c>
      <c r="P50" s="55">
        <f t="shared" si="15"/>
        <v>21186.620375005026</v>
      </c>
      <c r="Q50" s="4">
        <f t="shared" si="16"/>
        <v>1127.3796249949737</v>
      </c>
      <c r="R50" s="4">
        <f t="shared" si="17"/>
        <v>1270984.8188538076</v>
      </c>
      <c r="T50" s="10"/>
      <c r="V50" s="9">
        <f t="shared" si="27"/>
        <v>18945.484306160124</v>
      </c>
      <c r="W50">
        <f t="shared" si="25"/>
        <v>3368.5156938398759</v>
      </c>
      <c r="X50">
        <f t="shared" si="26"/>
        <v>11346897.979645541</v>
      </c>
      <c r="Z50" s="10"/>
      <c r="AO50" s="45" t="s">
        <v>132</v>
      </c>
      <c r="AP50" s="45">
        <v>2023</v>
      </c>
      <c r="AQ50" s="2">
        <f t="shared" si="8"/>
        <v>47</v>
      </c>
      <c r="AR50" s="17">
        <v>22314</v>
      </c>
      <c r="AS50">
        <f t="shared" si="18"/>
        <v>22654.75</v>
      </c>
      <c r="AT50">
        <f t="shared" si="19"/>
        <v>11351.125</v>
      </c>
      <c r="AU50">
        <f t="shared" si="20"/>
        <v>1.9657963417722912</v>
      </c>
      <c r="AV50">
        <f t="shared" si="4"/>
        <v>1.0362141742586009</v>
      </c>
      <c r="AW50">
        <f t="shared" si="5"/>
        <v>21534.158240949953</v>
      </c>
      <c r="AX50">
        <f t="shared" si="9"/>
        <v>21401.554573829533</v>
      </c>
      <c r="AY50">
        <f t="shared" si="6"/>
        <v>22176.594200571151</v>
      </c>
    </row>
    <row r="51" spans="1:53" x14ac:dyDescent="0.2">
      <c r="A51" s="54">
        <f t="shared" si="7"/>
        <v>48</v>
      </c>
      <c r="B51" s="10">
        <f>90619-(B48+B49+B50)</f>
        <v>26095</v>
      </c>
      <c r="D51" s="55">
        <f t="shared" si="10"/>
        <v>21809.5</v>
      </c>
      <c r="E51" s="4">
        <f t="shared" si="11"/>
        <v>4285.5</v>
      </c>
      <c r="F51" s="57">
        <f t="shared" si="12"/>
        <v>475654290.25</v>
      </c>
      <c r="H51" s="55">
        <f t="shared" si="13"/>
        <v>21508</v>
      </c>
      <c r="I51" s="4">
        <f t="shared" si="14"/>
        <v>4587</v>
      </c>
      <c r="J51" s="57">
        <f t="shared" si="21"/>
        <v>21040569</v>
      </c>
      <c r="L51" s="55">
        <f t="shared" si="22"/>
        <v>21906.75</v>
      </c>
      <c r="M51" s="4">
        <f t="shared" si="23"/>
        <v>4188.25</v>
      </c>
      <c r="N51" s="57">
        <f t="shared" si="24"/>
        <v>17541438.0625</v>
      </c>
      <c r="P51" s="55">
        <f t="shared" si="15"/>
        <v>22015.387395950183</v>
      </c>
      <c r="Q51" s="4">
        <f t="shared" si="16"/>
        <v>4079.6126040498166</v>
      </c>
      <c r="R51" s="4">
        <f t="shared" si="17"/>
        <v>16643238.999122126</v>
      </c>
      <c r="T51" s="10"/>
      <c r="V51" s="9">
        <f t="shared" si="27"/>
        <v>19450.761660236105</v>
      </c>
      <c r="W51">
        <f t="shared" si="25"/>
        <v>6644.2383397638951</v>
      </c>
      <c r="X51">
        <f t="shared" si="26"/>
        <v>44145903.115588479</v>
      </c>
      <c r="Z51" s="10"/>
      <c r="AO51" s="45" t="s">
        <v>133</v>
      </c>
      <c r="AP51" s="45">
        <v>2023</v>
      </c>
      <c r="AQ51" s="2">
        <f t="shared" si="8"/>
        <v>48</v>
      </c>
      <c r="AR51" s="17">
        <f>90619-(AR48+AR49+AR50)</f>
        <v>26095</v>
      </c>
      <c r="AS51">
        <f>AVERAGE(AQ49:AQ52)</f>
        <v>47.5</v>
      </c>
      <c r="AT51">
        <f>AVERAGE(AR51:AR52)</f>
        <v>24206</v>
      </c>
      <c r="AU51">
        <f>AR51/AT51</f>
        <v>1.0780385028505328</v>
      </c>
      <c r="AV51">
        <f t="shared" si="4"/>
        <v>1.161111685686443</v>
      </c>
      <c r="AW51">
        <f t="shared" si="5"/>
        <v>22474.151558101647</v>
      </c>
      <c r="AX51">
        <f t="shared" si="9"/>
        <v>21921.872460984392</v>
      </c>
      <c r="AY51">
        <f t="shared" si="6"/>
        <v>25453.742286576799</v>
      </c>
    </row>
    <row r="52" spans="1:53" x14ac:dyDescent="0.2">
      <c r="A52" s="54">
        <f t="shared" si="7"/>
        <v>49</v>
      </c>
      <c r="B52" s="10">
        <v>22317</v>
      </c>
      <c r="D52" s="55">
        <f t="shared" si="10"/>
        <v>24204.5</v>
      </c>
      <c r="E52" s="4">
        <f t="shared" si="11"/>
        <v>1887.5</v>
      </c>
      <c r="F52" s="57">
        <f t="shared" si="12"/>
        <v>417364470.25</v>
      </c>
      <c r="H52" s="55">
        <f t="shared" si="13"/>
        <v>23238</v>
      </c>
      <c r="I52" s="4">
        <f t="shared" si="14"/>
        <v>921</v>
      </c>
      <c r="J52" s="57">
        <f t="shared" si="21"/>
        <v>848241</v>
      </c>
      <c r="L52" s="55">
        <f t="shared" si="22"/>
        <v>22654.75</v>
      </c>
      <c r="M52" s="4">
        <f t="shared" si="23"/>
        <v>337.75</v>
      </c>
      <c r="N52" s="57">
        <f t="shared" si="24"/>
        <v>114075.0625</v>
      </c>
      <c r="P52" s="55">
        <f t="shared" si="15"/>
        <v>24976.016594735032</v>
      </c>
      <c r="Q52" s="4">
        <f t="shared" si="16"/>
        <v>2659.0165947350324</v>
      </c>
      <c r="R52" s="4">
        <f t="shared" si="17"/>
        <v>7070369.2510762876</v>
      </c>
      <c r="T52" s="10"/>
      <c r="V52" s="9">
        <f t="shared" si="27"/>
        <v>20447.397411200687</v>
      </c>
      <c r="W52">
        <f t="shared" si="25"/>
        <v>1869.6025887993128</v>
      </c>
      <c r="X52">
        <f t="shared" si="26"/>
        <v>3495413.8400450922</v>
      </c>
      <c r="Z52" s="10"/>
      <c r="AO52" s="45" t="s">
        <v>130</v>
      </c>
      <c r="AP52" s="45">
        <v>2024</v>
      </c>
      <c r="AQ52" s="2">
        <f t="shared" si="8"/>
        <v>49</v>
      </c>
      <c r="AR52" s="17">
        <v>22317</v>
      </c>
      <c r="AS52">
        <f>AVERAGE(AQ50:AQ53)</f>
        <v>48.5</v>
      </c>
      <c r="AT52">
        <f>AVERAGE(AR52:AR53)</f>
        <v>22941.5</v>
      </c>
      <c r="AU52">
        <f>AR52/AT52</f>
        <v>0.97277858901989844</v>
      </c>
      <c r="AV52">
        <f t="shared" si="4"/>
        <v>0.94240102045102947</v>
      </c>
      <c r="AW52">
        <f t="shared" si="5"/>
        <v>23681.001522387116</v>
      </c>
      <c r="AX52">
        <f>$AC$19+$AC$20*AQ52</f>
        <v>22442.190348139255</v>
      </c>
      <c r="AY52">
        <f t="shared" si="6"/>
        <v>21149.543085242676</v>
      </c>
    </row>
    <row r="53" spans="1:53" ht="16" thickBot="1" x14ac:dyDescent="0.25">
      <c r="A53" s="54">
        <f t="shared" si="7"/>
        <v>50</v>
      </c>
      <c r="B53" s="10">
        <v>23566</v>
      </c>
      <c r="D53" s="55">
        <f t="shared" si="10"/>
        <v>24206</v>
      </c>
      <c r="E53" s="4">
        <f t="shared" si="11"/>
        <v>640</v>
      </c>
      <c r="F53" s="57">
        <f t="shared" si="12"/>
        <v>525601476</v>
      </c>
      <c r="H53" s="55">
        <f t="shared" si="13"/>
        <v>23575.333333333332</v>
      </c>
      <c r="I53" s="4">
        <f t="shared" si="14"/>
        <v>9.3333333333321207</v>
      </c>
      <c r="J53" s="57">
        <f>(B53-H53)^2</f>
        <v>87.111111111088476</v>
      </c>
      <c r="L53" s="55">
        <f t="shared" si="22"/>
        <v>23007.75</v>
      </c>
      <c r="M53" s="4">
        <f t="shared" si="23"/>
        <v>558.25</v>
      </c>
      <c r="N53" s="57">
        <f>(B53-L53)^2</f>
        <v>311643.0625</v>
      </c>
      <c r="P53" s="55">
        <f t="shared" si="15"/>
        <v>23435.095558077501</v>
      </c>
      <c r="Q53" s="4">
        <f t="shared" si="16"/>
        <v>130.90444192249925</v>
      </c>
      <c r="R53" s="4">
        <f t="shared" si="17"/>
        <v>17135.972915040977</v>
      </c>
      <c r="T53" s="10"/>
      <c r="V53" s="9">
        <f t="shared" si="27"/>
        <v>20727.837799520585</v>
      </c>
      <c r="W53">
        <f t="shared" si="25"/>
        <v>2838.1622004794153</v>
      </c>
      <c r="X53">
        <f t="shared" si="26"/>
        <v>8055164.6762301568</v>
      </c>
      <c r="Z53" s="10"/>
      <c r="AO53" s="45" t="s">
        <v>131</v>
      </c>
      <c r="AP53" s="45">
        <v>2024</v>
      </c>
      <c r="AQ53" s="2">
        <f t="shared" si="8"/>
        <v>50</v>
      </c>
      <c r="AR53" s="17">
        <v>23566</v>
      </c>
      <c r="AV53">
        <f t="shared" si="4"/>
        <v>0.93250357690448427</v>
      </c>
      <c r="AW53">
        <f>AR53/AV53</f>
        <v>25271.752927993166</v>
      </c>
      <c r="AX53">
        <f>$AC$19+$AC$20*AQ53</f>
        <v>22962.508235294117</v>
      </c>
      <c r="AY53">
        <f>AV53*AX53</f>
        <v>21412.621064110441</v>
      </c>
    </row>
    <row r="54" spans="1:53" x14ac:dyDescent="0.2">
      <c r="A54" s="111">
        <v>51</v>
      </c>
      <c r="B54" s="12"/>
      <c r="D54" s="58"/>
      <c r="E54" s="59"/>
      <c r="F54" s="60"/>
      <c r="H54" s="58"/>
      <c r="I54" s="59"/>
      <c r="J54" s="60"/>
      <c r="L54" s="58"/>
      <c r="M54" s="59"/>
      <c r="N54" s="60"/>
      <c r="P54" s="108">
        <f t="shared" si="15"/>
        <v>23196.359620953201</v>
      </c>
      <c r="Q54" s="109" t="s">
        <v>138</v>
      </c>
      <c r="T54" s="10"/>
      <c r="V54" s="11"/>
      <c r="W54" s="75"/>
      <c r="X54" s="75"/>
      <c r="Y54" s="75"/>
      <c r="Z54" s="12"/>
      <c r="AO54" s="47" t="s">
        <v>132</v>
      </c>
      <c r="AP54" s="47">
        <v>2024</v>
      </c>
      <c r="AQ54" s="48">
        <f t="shared" si="8"/>
        <v>51</v>
      </c>
      <c r="AR54" s="49"/>
      <c r="AS54" s="49"/>
      <c r="AT54" s="49"/>
      <c r="AU54" s="49"/>
      <c r="AV54" s="49">
        <f t="shared" si="4"/>
        <v>1.0362141742586009</v>
      </c>
      <c r="AW54" s="49"/>
      <c r="AX54" s="49">
        <f>$AC$19+$AC$20*AQ54</f>
        <v>23482.82612244898</v>
      </c>
      <c r="AY54" s="49">
        <f>AV54*AX54</f>
        <v>24333.237279731773</v>
      </c>
      <c r="AZ54" s="118" t="s">
        <v>155</v>
      </c>
      <c r="BA54" s="117">
        <f>AY54</f>
        <v>24333.237279731773</v>
      </c>
    </row>
    <row r="55" spans="1:53" x14ac:dyDescent="0.2">
      <c r="P55" s="55">
        <v>24660</v>
      </c>
      <c r="Q55" s="109" t="s">
        <v>144</v>
      </c>
      <c r="T55" s="10"/>
      <c r="AZ55" s="119" t="s">
        <v>139</v>
      </c>
      <c r="BA55" s="120">
        <v>24660</v>
      </c>
    </row>
    <row r="56" spans="1:53" x14ac:dyDescent="0.2">
      <c r="P56" s="55">
        <f>P55-P54</f>
        <v>1463.6403790467994</v>
      </c>
      <c r="Q56" s="109" t="s">
        <v>152</v>
      </c>
      <c r="T56" s="10"/>
      <c r="AZ56" s="119" t="s">
        <v>151</v>
      </c>
      <c r="BA56" s="121">
        <f>BA55-AY54</f>
        <v>326.76272026822699</v>
      </c>
    </row>
    <row r="57" spans="1:53" ht="16" thickBot="1" x14ac:dyDescent="0.25">
      <c r="P57" s="124">
        <f>P56/P55</f>
        <v>5.9352813424444421E-2</v>
      </c>
      <c r="Q57" s="59" t="s">
        <v>154</v>
      </c>
      <c r="R57" s="59"/>
      <c r="S57" s="75"/>
      <c r="T57" s="12"/>
      <c r="AZ57" s="122" t="s">
        <v>154</v>
      </c>
      <c r="BA57" s="123">
        <f>BA56/BA55</f>
        <v>1.3250718583464192E-2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485-790C-6E40-AF34-19B4F7F32A10}">
  <dimension ref="A1:BA57"/>
  <sheetViews>
    <sheetView topLeftCell="AN1" zoomScaleNormal="100" workbookViewId="0">
      <selection activeCell="N61" sqref="N61"/>
    </sheetView>
  </sheetViews>
  <sheetFormatPr baseColWidth="10" defaultRowHeight="15" x14ac:dyDescent="0.2"/>
  <cols>
    <col min="1" max="1" width="6.1640625" style="2" customWidth="1"/>
    <col min="3" max="3" width="2.83203125" style="27" customWidth="1"/>
    <col min="4" max="4" width="14.83203125" style="4" customWidth="1"/>
    <col min="5" max="5" width="11" style="4" bestFit="1" customWidth="1"/>
    <col min="6" max="6" width="13.6640625" style="4" customWidth="1"/>
    <col min="7" max="7" width="2.83203125" style="27" customWidth="1"/>
    <col min="8" max="8" width="16.1640625" style="4" customWidth="1"/>
    <col min="9" max="9" width="10.83203125" style="4"/>
    <col min="10" max="10" width="12.6640625" style="4" customWidth="1"/>
    <col min="11" max="11" width="2.83203125" style="27" customWidth="1"/>
    <col min="12" max="12" width="18.1640625" style="4" customWidth="1"/>
    <col min="13" max="13" width="10.83203125" style="4"/>
    <col min="14" max="14" width="13.33203125" style="4" customWidth="1"/>
    <col min="15" max="15" width="2.83203125" style="27" customWidth="1"/>
    <col min="16" max="16" width="15.83203125" style="4" customWidth="1"/>
    <col min="17" max="17" width="10.83203125" style="4"/>
    <col min="18" max="18" width="14" style="4" customWidth="1"/>
    <col min="19" max="20" width="11" customWidth="1"/>
    <col min="21" max="21" width="2.83203125" style="27" customWidth="1"/>
    <col min="22" max="22" width="23" customWidth="1"/>
    <col min="25" max="25" width="26.33203125" customWidth="1"/>
    <col min="41" max="42" width="10.83203125" style="5"/>
  </cols>
  <sheetData>
    <row r="1" spans="1:53" x14ac:dyDescent="0.2">
      <c r="A1" s="44"/>
      <c r="B1" s="27"/>
      <c r="D1" s="61" t="s">
        <v>81</v>
      </c>
      <c r="E1" s="62" t="s">
        <v>83</v>
      </c>
      <c r="F1" s="63" t="s">
        <v>83</v>
      </c>
      <c r="H1" s="61" t="s">
        <v>81</v>
      </c>
      <c r="I1" s="62" t="s">
        <v>83</v>
      </c>
      <c r="J1" s="63" t="s">
        <v>83</v>
      </c>
      <c r="L1" s="61" t="s">
        <v>81</v>
      </c>
      <c r="M1" s="62" t="s">
        <v>83</v>
      </c>
      <c r="N1" s="63" t="s">
        <v>83</v>
      </c>
      <c r="P1" s="61" t="s">
        <v>88</v>
      </c>
      <c r="Q1" s="62" t="s">
        <v>83</v>
      </c>
      <c r="R1" s="62" t="s">
        <v>83</v>
      </c>
      <c r="S1" s="68" t="s">
        <v>90</v>
      </c>
      <c r="T1" s="76"/>
      <c r="V1" s="61" t="s">
        <v>94</v>
      </c>
      <c r="W1" s="62" t="s">
        <v>83</v>
      </c>
      <c r="X1" s="62" t="s">
        <v>83</v>
      </c>
      <c r="Y1" s="68" t="s">
        <v>96</v>
      </c>
      <c r="Z1" s="105"/>
    </row>
    <row r="2" spans="1:53" s="95" customFormat="1" ht="15" customHeight="1" thickBot="1" x14ac:dyDescent="0.25">
      <c r="A2" s="94"/>
      <c r="B2" s="43"/>
      <c r="C2" s="43"/>
      <c r="D2" s="99" t="s">
        <v>82</v>
      </c>
      <c r="E2" s="100" t="s">
        <v>124</v>
      </c>
      <c r="F2" s="101" t="s">
        <v>125</v>
      </c>
      <c r="G2" s="43"/>
      <c r="H2" s="99" t="s">
        <v>86</v>
      </c>
      <c r="I2" s="100" t="s">
        <v>84</v>
      </c>
      <c r="J2" s="101" t="s">
        <v>85</v>
      </c>
      <c r="K2" s="43"/>
      <c r="L2" s="99" t="s">
        <v>87</v>
      </c>
      <c r="M2" s="100" t="s">
        <v>84</v>
      </c>
      <c r="N2" s="101" t="s">
        <v>85</v>
      </c>
      <c r="O2" s="43"/>
      <c r="P2" s="99" t="s">
        <v>89</v>
      </c>
      <c r="Q2" s="100" t="s">
        <v>84</v>
      </c>
      <c r="R2" s="100" t="s">
        <v>85</v>
      </c>
      <c r="S2" s="103" t="s">
        <v>91</v>
      </c>
      <c r="T2" s="104">
        <v>0.9999999809374972</v>
      </c>
      <c r="U2" s="43"/>
      <c r="V2" s="99" t="s">
        <v>95</v>
      </c>
      <c r="W2" s="100" t="s">
        <v>84</v>
      </c>
      <c r="X2" s="100" t="s">
        <v>85</v>
      </c>
      <c r="Y2" s="106" t="s">
        <v>97</v>
      </c>
      <c r="Z2" s="107">
        <v>0.15</v>
      </c>
      <c r="AO2" s="96"/>
      <c r="AP2" s="96"/>
    </row>
    <row r="3" spans="1:53" ht="15" customHeight="1" thickBot="1" x14ac:dyDescent="0.25">
      <c r="A3" s="97" t="s">
        <v>80</v>
      </c>
      <c r="B3" s="98" t="s">
        <v>50</v>
      </c>
      <c r="D3" s="55"/>
      <c r="E3" s="4">
        <f>AVERAGE(E4:E53)</f>
        <v>5782.3125</v>
      </c>
      <c r="F3" s="56">
        <f>AVERAGE(F6:F53)^0.5</f>
        <v>36518.530032710791</v>
      </c>
      <c r="H3" s="55"/>
      <c r="I3" s="4">
        <f>AVERAGE(I4:I53)</f>
        <v>4826.489361702128</v>
      </c>
      <c r="J3" s="56">
        <f>AVERAGE(J4:J53)^0.5</f>
        <v>7101.3975103829262</v>
      </c>
      <c r="L3" s="55"/>
      <c r="M3" s="4">
        <f>AVERAGE(M4:M53)</f>
        <v>4033.375</v>
      </c>
      <c r="N3" s="56">
        <f>AVERAGE(N4:N53)^0.5</f>
        <v>6290.1085397293491</v>
      </c>
      <c r="P3" s="55"/>
      <c r="Q3" s="4">
        <f>AVERAGE(Q4:Q53)</f>
        <v>6170.5746476015129</v>
      </c>
      <c r="R3" s="71">
        <f>AVERAGE(R4:R53)^0.5</f>
        <v>8049.4633743636623</v>
      </c>
      <c r="S3" s="41" t="s">
        <v>92</v>
      </c>
      <c r="T3" s="70">
        <v>7.0348210212932583E-10</v>
      </c>
      <c r="V3" s="9"/>
      <c r="W3">
        <f>AVERAGE(W4:W53)</f>
        <v>6674.6808272459266</v>
      </c>
      <c r="X3" s="25">
        <f>AVERAGE(X4:X53)^0.5</f>
        <v>9390.8474022198188</v>
      </c>
      <c r="Z3" s="10"/>
      <c r="AB3" s="83" t="s">
        <v>98</v>
      </c>
      <c r="AC3" s="84"/>
      <c r="AD3" s="84"/>
      <c r="AE3" s="84"/>
      <c r="AF3" s="84"/>
      <c r="AG3" s="84"/>
      <c r="AH3" s="84"/>
      <c r="AI3" s="84"/>
      <c r="AJ3" s="85"/>
      <c r="AL3" s="7" t="s">
        <v>79</v>
      </c>
      <c r="AM3" s="8" t="s">
        <v>129</v>
      </c>
      <c r="AO3" s="14" t="s">
        <v>79</v>
      </c>
      <c r="AP3" s="14" t="s">
        <v>134</v>
      </c>
      <c r="AQ3" s="15" t="s">
        <v>80</v>
      </c>
      <c r="AR3" s="46" t="s">
        <v>50</v>
      </c>
      <c r="AS3" s="13" t="s">
        <v>126</v>
      </c>
      <c r="AT3" s="13" t="s">
        <v>127</v>
      </c>
      <c r="AU3" s="13" t="s">
        <v>128</v>
      </c>
      <c r="AV3" s="13" t="s">
        <v>129</v>
      </c>
      <c r="AW3" s="13" t="s">
        <v>135</v>
      </c>
      <c r="AX3" s="13" t="s">
        <v>136</v>
      </c>
      <c r="AY3" s="50" t="s">
        <v>137</v>
      </c>
      <c r="AZ3" s="51" t="s">
        <v>141</v>
      </c>
      <c r="BA3" s="49"/>
    </row>
    <row r="4" spans="1:53" ht="16" thickBot="1" x14ac:dyDescent="0.25">
      <c r="A4" s="54">
        <v>1</v>
      </c>
      <c r="B4" s="10">
        <v>11249</v>
      </c>
      <c r="D4" s="55"/>
      <c r="F4" s="57"/>
      <c r="H4" s="55"/>
      <c r="J4" s="57"/>
      <c r="L4" s="55"/>
      <c r="N4" s="102" t="s">
        <v>146</v>
      </c>
      <c r="P4" s="55"/>
      <c r="S4" s="41" t="s">
        <v>93</v>
      </c>
      <c r="T4" s="70">
        <v>1.0915559127015509E-9</v>
      </c>
      <c r="V4" s="9">
        <f>B4</f>
        <v>11249</v>
      </c>
      <c r="W4">
        <f t="shared" ref="W4:W53" si="0">ABS(B4-V4)</f>
        <v>0</v>
      </c>
      <c r="X4">
        <f t="shared" ref="X4:X53" si="1">(B4-V4)^2</f>
        <v>0</v>
      </c>
      <c r="Z4" s="10"/>
      <c r="AB4" s="86"/>
      <c r="AC4" s="27"/>
      <c r="AD4" s="27"/>
      <c r="AE4" s="27"/>
      <c r="AF4" s="27"/>
      <c r="AG4" s="27"/>
      <c r="AH4" s="27"/>
      <c r="AI4" s="27"/>
      <c r="AJ4" s="87"/>
      <c r="AL4" s="9" t="s">
        <v>130</v>
      </c>
      <c r="AM4" s="10">
        <f>AVERAGEIF($AO$6:$AO$52,AL4,$AU$6:$AU$52)</f>
        <v>0.92917728627801888</v>
      </c>
      <c r="AO4" s="45" t="s">
        <v>130</v>
      </c>
      <c r="AP4" s="45">
        <v>2012</v>
      </c>
      <c r="AQ4" s="2">
        <v>1</v>
      </c>
      <c r="AR4" s="17">
        <v>11249</v>
      </c>
      <c r="AV4">
        <f>VLOOKUP(AO4,$AL$4:$AM$7,2,FALSE)</f>
        <v>0.92917728627801888</v>
      </c>
      <c r="AW4">
        <f>AR4/AV4</f>
        <v>12106.408718899947</v>
      </c>
      <c r="AX4">
        <f>$AC$19+$AC$20*AQ4</f>
        <v>5498.06117647058</v>
      </c>
      <c r="AY4">
        <f>AV4*AX4</f>
        <v>5108.6735637434658</v>
      </c>
    </row>
    <row r="5" spans="1:53" x14ac:dyDescent="0.2">
      <c r="A5" s="54">
        <f>A4+1</f>
        <v>2</v>
      </c>
      <c r="B5" s="10">
        <v>10791</v>
      </c>
      <c r="D5" s="55"/>
      <c r="F5" s="57"/>
      <c r="H5" s="55"/>
      <c r="J5" s="57"/>
      <c r="L5" s="55"/>
      <c r="N5" s="57"/>
      <c r="P5" s="55"/>
      <c r="S5" s="41"/>
      <c r="T5" s="70">
        <v>0.99999998273253521</v>
      </c>
      <c r="V5" s="9">
        <f t="shared" ref="V5:V53" si="2">$Z$2*B4+(1-$Z$2)*V4</f>
        <v>11249</v>
      </c>
      <c r="W5">
        <f t="shared" si="0"/>
        <v>458</v>
      </c>
      <c r="X5">
        <f t="shared" si="1"/>
        <v>209764</v>
      </c>
      <c r="Z5" s="10"/>
      <c r="AB5" s="88" t="s">
        <v>99</v>
      </c>
      <c r="AC5" s="89"/>
      <c r="AD5" s="27"/>
      <c r="AE5" s="27"/>
      <c r="AF5" s="27"/>
      <c r="AG5" s="27"/>
      <c r="AH5" s="27"/>
      <c r="AI5" s="27"/>
      <c r="AJ5" s="87"/>
      <c r="AL5" s="9" t="s">
        <v>131</v>
      </c>
      <c r="AM5" s="10">
        <f>AVERAGEIF($AO$6:$AO$52,AL5,$AU$6:$AU$52)</f>
        <v>0.91190964756053527</v>
      </c>
      <c r="AO5" s="45" t="s">
        <v>131</v>
      </c>
      <c r="AP5" s="45">
        <v>2012</v>
      </c>
      <c r="AQ5" s="2">
        <f>AQ4+1</f>
        <v>2</v>
      </c>
      <c r="AR5" s="17">
        <v>10791</v>
      </c>
      <c r="AV5">
        <f t="shared" ref="AV5:AV54" si="3">VLOOKUP(AO5,$AL$4:$AM$7,2,FALSE)</f>
        <v>0.91190964756053527</v>
      </c>
      <c r="AW5">
        <f t="shared" ref="AW5:AW52" si="4">AR5/AV5</f>
        <v>11833.409185731485</v>
      </c>
      <c r="AX5">
        <f t="shared" ref="AX5:AX54" si="5">$AC$19+$AC$20*AQ5</f>
        <v>6789.1762304921886</v>
      </c>
      <c r="AY5">
        <f t="shared" ref="AY5:AY52" si="6">AV5*AX5</f>
        <v>6191.1153035744946</v>
      </c>
    </row>
    <row r="6" spans="1:53" x14ac:dyDescent="0.2">
      <c r="A6" s="54">
        <f t="shared" ref="A6:A53" si="7">A5+1</f>
        <v>3</v>
      </c>
      <c r="B6" s="10">
        <v>11546</v>
      </c>
      <c r="D6" s="55">
        <f>AVERAGE(B4:B5)</f>
        <v>11020</v>
      </c>
      <c r="E6" s="4">
        <f>ABS(B6-D6)</f>
        <v>526</v>
      </c>
      <c r="F6" s="57">
        <f>(B6-E6)^2</f>
        <v>121440400</v>
      </c>
      <c r="H6" s="55"/>
      <c r="J6" s="57"/>
      <c r="L6" s="55"/>
      <c r="N6" s="57"/>
      <c r="P6" s="55"/>
      <c r="T6" s="10"/>
      <c r="V6" s="9">
        <f t="shared" si="2"/>
        <v>11180.3</v>
      </c>
      <c r="W6">
        <f t="shared" si="0"/>
        <v>365.70000000000073</v>
      </c>
      <c r="X6">
        <f t="shared" si="1"/>
        <v>133736.49000000054</v>
      </c>
      <c r="Z6" s="10"/>
      <c r="AB6" s="86" t="s">
        <v>100</v>
      </c>
      <c r="AC6" s="27">
        <v>0.94851602626559683</v>
      </c>
      <c r="AD6" s="27"/>
      <c r="AE6" s="27"/>
      <c r="AF6" s="27"/>
      <c r="AG6" s="27"/>
      <c r="AH6" s="27"/>
      <c r="AI6" s="27"/>
      <c r="AJ6" s="87"/>
      <c r="AL6" s="9" t="s">
        <v>132</v>
      </c>
      <c r="AM6" s="10">
        <f t="shared" ref="AM6:AM7" si="8">AVERAGEIF($AO$6:$AO$52,AL6,$AU$6:$AU$52)</f>
        <v>1.0135546225959615</v>
      </c>
      <c r="AO6" s="45" t="s">
        <v>132</v>
      </c>
      <c r="AP6" s="45">
        <v>2012</v>
      </c>
      <c r="AQ6" s="2">
        <f t="shared" ref="AQ6:AQ54" si="9">AQ5+1</f>
        <v>3</v>
      </c>
      <c r="AR6" s="17">
        <v>11546</v>
      </c>
      <c r="AS6">
        <f>AVERAGE(AR4:AR7)</f>
        <v>12933.25</v>
      </c>
      <c r="AT6">
        <f>AVERAGE(AS6:AS7)</f>
        <v>13186</v>
      </c>
      <c r="AU6">
        <f>AR6/AT6</f>
        <v>0.87562566358258764</v>
      </c>
      <c r="AV6">
        <f t="shared" si="3"/>
        <v>1.0135546225959615</v>
      </c>
      <c r="AW6">
        <f t="shared" si="4"/>
        <v>11391.591279439748</v>
      </c>
      <c r="AX6">
        <f t="shared" si="5"/>
        <v>8080.291284513798</v>
      </c>
      <c r="AY6">
        <f t="shared" si="6"/>
        <v>8189.8165833408193</v>
      </c>
    </row>
    <row r="7" spans="1:53" x14ac:dyDescent="0.2">
      <c r="A7" s="54">
        <f t="shared" si="7"/>
        <v>4</v>
      </c>
      <c r="B7" s="10">
        <f>51733-SUM(B4:B6)</f>
        <v>18147</v>
      </c>
      <c r="D7" s="55">
        <f t="shared" ref="D7:D53" si="10">AVERAGE(B5:B6)</f>
        <v>11168.5</v>
      </c>
      <c r="E7" s="4">
        <f t="shared" ref="E7:E53" si="11">ABS(B7-D7)</f>
        <v>6978.5</v>
      </c>
      <c r="F7" s="57">
        <f t="shared" ref="F7:F53" si="12">(B7-E7)^2</f>
        <v>124735392.25</v>
      </c>
      <c r="H7" s="55">
        <f>AVERAGE(B4:B6)</f>
        <v>11195.333333333334</v>
      </c>
      <c r="I7" s="4">
        <f>ABS(B7-H7)</f>
        <v>6951.6666666666661</v>
      </c>
      <c r="J7" s="57">
        <f>(B8-H8)^2</f>
        <v>50026.777777777505</v>
      </c>
      <c r="L7" s="55"/>
      <c r="N7" s="57"/>
      <c r="P7" s="55">
        <f>B6*$T$2+B5*$T$3+B4*$T$4</f>
        <v>11545.999799774532</v>
      </c>
      <c r="Q7" s="4">
        <f>ABS(B7-P7)</f>
        <v>6601.0002002254678</v>
      </c>
      <c r="R7" s="4">
        <f>(B7-P7)^2</f>
        <v>43573203.643376663</v>
      </c>
      <c r="T7" s="10"/>
      <c r="V7" s="9">
        <f t="shared" si="2"/>
        <v>11235.154999999999</v>
      </c>
      <c r="W7">
        <f t="shared" si="0"/>
        <v>6911.8450000000012</v>
      </c>
      <c r="X7">
        <f t="shared" si="1"/>
        <v>47773601.304025017</v>
      </c>
      <c r="Z7" s="10"/>
      <c r="AB7" s="116" t="s">
        <v>101</v>
      </c>
      <c r="AC7" s="17">
        <v>0.89968265208267828</v>
      </c>
      <c r="AD7" s="27"/>
      <c r="AE7" s="27"/>
      <c r="AF7" s="27"/>
      <c r="AG7" s="27"/>
      <c r="AH7" s="27"/>
      <c r="AI7" s="27"/>
      <c r="AJ7" s="87"/>
      <c r="AL7" s="11" t="s">
        <v>133</v>
      </c>
      <c r="AM7" s="12">
        <f t="shared" si="8"/>
        <v>1.2253380598827457</v>
      </c>
      <c r="AO7" s="45" t="s">
        <v>133</v>
      </c>
      <c r="AP7" s="45">
        <v>2012</v>
      </c>
      <c r="AQ7" s="2">
        <f t="shared" si="9"/>
        <v>4</v>
      </c>
      <c r="AR7" s="17">
        <f>51733-SUM(AR4:AR6)</f>
        <v>18147</v>
      </c>
      <c r="AS7">
        <f t="shared" ref="AS7:AS50" si="13">AVERAGE(AR5:AR8)</f>
        <v>13438.75</v>
      </c>
      <c r="AT7">
        <f t="shared" ref="AT7:AT50" si="14">AVERAGE(AS7:AS8)</f>
        <v>13683.875</v>
      </c>
      <c r="AU7">
        <f t="shared" ref="AU7:AU50" si="15">AR7/AT7</f>
        <v>1.3261594394862566</v>
      </c>
      <c r="AV7">
        <f t="shared" si="3"/>
        <v>1.2253380598827457</v>
      </c>
      <c r="AW7">
        <f t="shared" si="4"/>
        <v>14809.790533835627</v>
      </c>
      <c r="AX7">
        <f t="shared" si="5"/>
        <v>9371.4063385354057</v>
      </c>
      <c r="AY7">
        <f t="shared" si="6"/>
        <v>11483.14086123384</v>
      </c>
    </row>
    <row r="8" spans="1:53" x14ac:dyDescent="0.2">
      <c r="A8" s="54">
        <f t="shared" si="7"/>
        <v>5</v>
      </c>
      <c r="B8" s="10">
        <v>13271</v>
      </c>
      <c r="D8" s="55">
        <f t="shared" si="10"/>
        <v>14846.5</v>
      </c>
      <c r="E8" s="4">
        <f t="shared" si="11"/>
        <v>1575.5</v>
      </c>
      <c r="F8" s="57">
        <f t="shared" si="12"/>
        <v>136784720.25</v>
      </c>
      <c r="H8" s="55">
        <f t="shared" ref="H8:H53" si="16">AVERAGE(B5:B7)</f>
        <v>13494.666666666666</v>
      </c>
      <c r="I8" s="4">
        <f t="shared" ref="I8:I53" si="17">ABS(B8-H8)</f>
        <v>223.66666666666606</v>
      </c>
      <c r="J8" s="57">
        <f>(B9-H9)^2</f>
        <v>2462807.1111111129</v>
      </c>
      <c r="L8" s="55">
        <f>AVERAGE(B4:B7)</f>
        <v>12933.25</v>
      </c>
      <c r="M8" s="4">
        <f>ABS(B8-L8)</f>
        <v>337.75</v>
      </c>
      <c r="N8" s="57">
        <f>(B8-L8)^2</f>
        <v>114075.0625</v>
      </c>
      <c r="P8" s="55">
        <f t="shared" ref="P8:P53" si="18">B7*$T$2+B6*$T$3+B5*$T$4</f>
        <v>18146.999673974147</v>
      </c>
      <c r="Q8" s="4">
        <f t="shared" ref="Q8:Q52" si="19">ABS(B8-P8)</f>
        <v>4875.9996739741473</v>
      </c>
      <c r="R8" s="4">
        <f t="shared" ref="R8:R52" si="20">(B8-P8)^2</f>
        <v>23775372.820595991</v>
      </c>
      <c r="T8" s="74"/>
      <c r="V8" s="9">
        <f t="shared" si="2"/>
        <v>12271.931749999998</v>
      </c>
      <c r="W8">
        <f t="shared" si="0"/>
        <v>999.06825000000208</v>
      </c>
      <c r="X8">
        <f t="shared" si="1"/>
        <v>998137.36815806665</v>
      </c>
      <c r="Z8" s="10"/>
      <c r="AB8" s="86" t="s">
        <v>102</v>
      </c>
      <c r="AC8" s="27">
        <v>0.89759270733440077</v>
      </c>
      <c r="AD8" s="27"/>
      <c r="AE8" s="27"/>
      <c r="AF8" s="27"/>
      <c r="AG8" s="27"/>
      <c r="AH8" s="27"/>
      <c r="AI8" s="27"/>
      <c r="AJ8" s="87"/>
      <c r="AO8" s="45" t="s">
        <v>130</v>
      </c>
      <c r="AP8" s="45">
        <v>2013</v>
      </c>
      <c r="AQ8" s="2">
        <f t="shared" si="9"/>
        <v>5</v>
      </c>
      <c r="AR8" s="17">
        <v>13271</v>
      </c>
      <c r="AS8">
        <f t="shared" si="13"/>
        <v>13929</v>
      </c>
      <c r="AT8">
        <f t="shared" si="14"/>
        <v>14211.75</v>
      </c>
      <c r="AU8">
        <f t="shared" si="15"/>
        <v>0.93380477421851638</v>
      </c>
      <c r="AV8">
        <f t="shared" si="3"/>
        <v>0.92917728627801888</v>
      </c>
      <c r="AW8">
        <f t="shared" si="4"/>
        <v>14282.527345410364</v>
      </c>
      <c r="AX8">
        <f t="shared" si="5"/>
        <v>10662.521392557015</v>
      </c>
      <c r="AY8">
        <f t="shared" si="6"/>
        <v>9907.3726924174498</v>
      </c>
    </row>
    <row r="9" spans="1:53" x14ac:dyDescent="0.2">
      <c r="A9" s="54">
        <f t="shared" si="7"/>
        <v>6</v>
      </c>
      <c r="B9" s="10">
        <v>12752</v>
      </c>
      <c r="D9" s="55">
        <f t="shared" si="10"/>
        <v>15709</v>
      </c>
      <c r="E9" s="4">
        <f t="shared" si="11"/>
        <v>2957</v>
      </c>
      <c r="F9" s="57">
        <f t="shared" si="12"/>
        <v>95942025</v>
      </c>
      <c r="H9" s="55">
        <f t="shared" si="16"/>
        <v>14321.333333333334</v>
      </c>
      <c r="I9" s="4">
        <f t="shared" si="17"/>
        <v>1569.3333333333339</v>
      </c>
      <c r="J9" s="57">
        <f t="shared" ref="J9:J53" si="21">(B10-H10)^2</f>
        <v>837835.11111111217</v>
      </c>
      <c r="L9" s="55">
        <f t="shared" ref="L9:L54" si="22">AVERAGE(B5:B8)</f>
        <v>13438.75</v>
      </c>
      <c r="M9" s="4">
        <f t="shared" ref="M9:M53" si="23">ABS(B9-L9)</f>
        <v>686.75</v>
      </c>
      <c r="N9" s="57">
        <f t="shared" ref="N9:N53" si="24">(B9-L9)^2</f>
        <v>471625.5625</v>
      </c>
      <c r="P9" s="55">
        <f t="shared" si="18"/>
        <v>13270.99977239072</v>
      </c>
      <c r="Q9" s="4">
        <f t="shared" si="19"/>
        <v>518.99977239071995</v>
      </c>
      <c r="R9" s="4">
        <f t="shared" si="20"/>
        <v>269360.76374161913</v>
      </c>
      <c r="T9" s="74"/>
      <c r="V9" s="9">
        <f t="shared" si="2"/>
        <v>12421.791987499997</v>
      </c>
      <c r="W9">
        <f t="shared" si="0"/>
        <v>330.20801250000295</v>
      </c>
      <c r="X9">
        <f t="shared" si="1"/>
        <v>109037.33151920211</v>
      </c>
      <c r="Z9" s="10"/>
      <c r="AB9" s="86" t="s">
        <v>103</v>
      </c>
      <c r="AC9" s="27">
        <v>6349.8750766013791</v>
      </c>
      <c r="AD9" s="27"/>
      <c r="AE9" s="27"/>
      <c r="AF9" s="27"/>
      <c r="AG9" s="27"/>
      <c r="AH9" s="27"/>
      <c r="AI9" s="27"/>
      <c r="AJ9" s="87"/>
      <c r="AO9" s="45" t="s">
        <v>131</v>
      </c>
      <c r="AP9" s="45">
        <v>2013</v>
      </c>
      <c r="AQ9" s="2">
        <f t="shared" si="9"/>
        <v>6</v>
      </c>
      <c r="AR9" s="17">
        <v>12752</v>
      </c>
      <c r="AS9">
        <f t="shared" si="13"/>
        <v>14494.5</v>
      </c>
      <c r="AT9">
        <f t="shared" si="14"/>
        <v>14860.125</v>
      </c>
      <c r="AU9">
        <f t="shared" si="15"/>
        <v>0.85813544637074046</v>
      </c>
      <c r="AV9">
        <f t="shared" si="3"/>
        <v>0.91190964756053527</v>
      </c>
      <c r="AW9">
        <f t="shared" si="4"/>
        <v>13983.841528722816</v>
      </c>
      <c r="AX9">
        <f t="shared" si="5"/>
        <v>11953.636446578625</v>
      </c>
      <c r="AY9">
        <f t="shared" si="6"/>
        <v>10900.636399066283</v>
      </c>
    </row>
    <row r="10" spans="1:53" ht="16" thickBot="1" x14ac:dyDescent="0.25">
      <c r="A10" s="54">
        <f t="shared" si="7"/>
        <v>7</v>
      </c>
      <c r="B10" s="10">
        <v>13808</v>
      </c>
      <c r="D10" s="55">
        <f t="shared" si="10"/>
        <v>13011.5</v>
      </c>
      <c r="E10" s="4">
        <f t="shared" si="11"/>
        <v>796.5</v>
      </c>
      <c r="F10" s="57">
        <f t="shared" si="12"/>
        <v>169299132.25</v>
      </c>
      <c r="H10" s="55">
        <f t="shared" si="16"/>
        <v>14723.333333333334</v>
      </c>
      <c r="I10" s="4">
        <f t="shared" si="17"/>
        <v>915.33333333333394</v>
      </c>
      <c r="J10" s="57">
        <f t="shared" si="21"/>
        <v>60762025</v>
      </c>
      <c r="L10" s="55">
        <f t="shared" si="22"/>
        <v>13929</v>
      </c>
      <c r="M10" s="4">
        <f t="shared" si="23"/>
        <v>121</v>
      </c>
      <c r="N10" s="57">
        <f t="shared" si="24"/>
        <v>14641</v>
      </c>
      <c r="P10" s="55">
        <f t="shared" si="18"/>
        <v>12751.999786059339</v>
      </c>
      <c r="Q10" s="4">
        <f t="shared" si="19"/>
        <v>1056.0002139406606</v>
      </c>
      <c r="R10" s="4">
        <f t="shared" si="20"/>
        <v>1115136.4518427211</v>
      </c>
      <c r="T10" s="74"/>
      <c r="V10" s="9">
        <f t="shared" si="2"/>
        <v>12471.323189374996</v>
      </c>
      <c r="W10">
        <f t="shared" si="0"/>
        <v>1336.6768106250038</v>
      </c>
      <c r="X10">
        <f t="shared" si="1"/>
        <v>1786704.8960626323</v>
      </c>
      <c r="Z10" s="10"/>
      <c r="AB10" s="90" t="s">
        <v>104</v>
      </c>
      <c r="AC10" s="33">
        <v>50</v>
      </c>
      <c r="AD10" s="27"/>
      <c r="AE10" s="27"/>
      <c r="AF10" s="27"/>
      <c r="AG10" s="27"/>
      <c r="AH10" s="27"/>
      <c r="AI10" s="27"/>
      <c r="AJ10" s="87"/>
      <c r="AO10" s="45" t="s">
        <v>132</v>
      </c>
      <c r="AP10" s="45">
        <v>2013</v>
      </c>
      <c r="AQ10" s="2">
        <f t="shared" si="9"/>
        <v>7</v>
      </c>
      <c r="AR10" s="17">
        <v>13808</v>
      </c>
      <c r="AS10">
        <f t="shared" si="13"/>
        <v>15225.75</v>
      </c>
      <c r="AT10">
        <f t="shared" si="14"/>
        <v>15530</v>
      </c>
      <c r="AU10">
        <f t="shared" si="15"/>
        <v>0.88911783644558917</v>
      </c>
      <c r="AV10">
        <f t="shared" si="3"/>
        <v>1.0135546225959615</v>
      </c>
      <c r="AW10">
        <f t="shared" si="4"/>
        <v>13623.340757535427</v>
      </c>
      <c r="AX10">
        <f t="shared" si="5"/>
        <v>13244.751500600232</v>
      </c>
      <c r="AY10">
        <f t="shared" si="6"/>
        <v>13424.279108568164</v>
      </c>
    </row>
    <row r="11" spans="1:53" x14ac:dyDescent="0.2">
      <c r="A11" s="54">
        <f t="shared" si="7"/>
        <v>8</v>
      </c>
      <c r="B11" s="10">
        <f>60903-SUM(B8:B10)</f>
        <v>21072</v>
      </c>
      <c r="D11" s="55">
        <f t="shared" si="10"/>
        <v>13280</v>
      </c>
      <c r="E11" s="4">
        <f t="shared" si="11"/>
        <v>7792</v>
      </c>
      <c r="F11" s="57">
        <f t="shared" si="12"/>
        <v>176358400</v>
      </c>
      <c r="H11" s="55">
        <f t="shared" si="16"/>
        <v>13277</v>
      </c>
      <c r="I11" s="4">
        <f t="shared" si="17"/>
        <v>7795</v>
      </c>
      <c r="J11" s="57">
        <f t="shared" si="21"/>
        <v>29698.777777777988</v>
      </c>
      <c r="L11" s="55">
        <f t="shared" si="22"/>
        <v>14494.5</v>
      </c>
      <c r="M11" s="4">
        <f t="shared" si="23"/>
        <v>6577.5</v>
      </c>
      <c r="N11" s="57">
        <f t="shared" si="24"/>
        <v>43263506.25</v>
      </c>
      <c r="P11" s="55">
        <f t="shared" si="18"/>
        <v>13807.999760241804</v>
      </c>
      <c r="Q11" s="4">
        <f t="shared" si="19"/>
        <v>7264.0002397581957</v>
      </c>
      <c r="R11" s="4">
        <f t="shared" si="20"/>
        <v>52765699.483207121</v>
      </c>
      <c r="T11" s="10"/>
      <c r="V11" s="9">
        <f t="shared" si="2"/>
        <v>12671.824710968747</v>
      </c>
      <c r="W11">
        <f t="shared" si="0"/>
        <v>8400.1752890312528</v>
      </c>
      <c r="X11">
        <f t="shared" si="1"/>
        <v>70562944.886451289</v>
      </c>
      <c r="Z11" s="10"/>
      <c r="AB11" s="86"/>
      <c r="AC11" s="27"/>
      <c r="AD11" s="27"/>
      <c r="AE11" s="27"/>
      <c r="AF11" s="27"/>
      <c r="AG11" s="27"/>
      <c r="AH11" s="27"/>
      <c r="AI11" s="27"/>
      <c r="AJ11" s="87"/>
      <c r="AO11" s="45" t="s">
        <v>133</v>
      </c>
      <c r="AP11" s="45">
        <v>2013</v>
      </c>
      <c r="AQ11" s="2">
        <f t="shared" si="9"/>
        <v>8</v>
      </c>
      <c r="AR11" s="17">
        <f>60903-SUM(AR8:AR10)</f>
        <v>21072</v>
      </c>
      <c r="AS11">
        <f t="shared" si="13"/>
        <v>15834.25</v>
      </c>
      <c r="AT11">
        <f t="shared" si="14"/>
        <v>16146.625</v>
      </c>
      <c r="AU11">
        <f t="shared" si="15"/>
        <v>1.3050405270451255</v>
      </c>
      <c r="AV11">
        <f t="shared" si="3"/>
        <v>1.2253380598827457</v>
      </c>
      <c r="AW11">
        <f t="shared" si="4"/>
        <v>17196.886875460645</v>
      </c>
      <c r="AX11">
        <f t="shared" si="5"/>
        <v>14535.866554621842</v>
      </c>
      <c r="AY11">
        <f t="shared" si="6"/>
        <v>17811.350522754819</v>
      </c>
    </row>
    <row r="12" spans="1:53" ht="16" thickBot="1" x14ac:dyDescent="0.25">
      <c r="A12" s="54">
        <f t="shared" si="7"/>
        <v>9</v>
      </c>
      <c r="B12" s="10">
        <v>15705</v>
      </c>
      <c r="D12" s="55">
        <f t="shared" si="10"/>
        <v>17440</v>
      </c>
      <c r="E12" s="4">
        <f t="shared" si="11"/>
        <v>1735</v>
      </c>
      <c r="F12" s="57">
        <f t="shared" si="12"/>
        <v>195160900</v>
      </c>
      <c r="H12" s="55">
        <f t="shared" si="16"/>
        <v>15877.333333333334</v>
      </c>
      <c r="I12" s="4">
        <f t="shared" si="17"/>
        <v>172.33333333333394</v>
      </c>
      <c r="J12" s="57">
        <f t="shared" si="21"/>
        <v>2594247.1111111152</v>
      </c>
      <c r="L12" s="55">
        <f t="shared" si="22"/>
        <v>15225.75</v>
      </c>
      <c r="M12" s="4">
        <f t="shared" si="23"/>
        <v>479.25</v>
      </c>
      <c r="N12" s="57">
        <f t="shared" si="24"/>
        <v>229680.5625</v>
      </c>
      <c r="P12" s="55">
        <f t="shared" si="18"/>
        <v>21071.999621948144</v>
      </c>
      <c r="Q12" s="4">
        <f t="shared" si="19"/>
        <v>5366.9996219481436</v>
      </c>
      <c r="R12" s="4">
        <f t="shared" si="20"/>
        <v>28804684.941991515</v>
      </c>
      <c r="T12" s="74"/>
      <c r="V12" s="9">
        <f t="shared" si="2"/>
        <v>13931.851004323435</v>
      </c>
      <c r="W12">
        <f t="shared" si="0"/>
        <v>1773.1489956765654</v>
      </c>
      <c r="X12">
        <f t="shared" si="1"/>
        <v>3144057.3608688125</v>
      </c>
      <c r="Z12" s="10"/>
      <c r="AB12" s="86" t="s">
        <v>105</v>
      </c>
      <c r="AC12" s="27"/>
      <c r="AD12" s="27"/>
      <c r="AE12" s="27"/>
      <c r="AF12" s="27"/>
      <c r="AG12" s="27"/>
      <c r="AH12" s="27"/>
      <c r="AI12" s="27"/>
      <c r="AJ12" s="87"/>
      <c r="AO12" s="45" t="s">
        <v>130</v>
      </c>
      <c r="AP12" s="45">
        <v>2014</v>
      </c>
      <c r="AQ12" s="2">
        <f t="shared" si="9"/>
        <v>9</v>
      </c>
      <c r="AR12" s="17">
        <v>15705</v>
      </c>
      <c r="AS12">
        <f t="shared" si="13"/>
        <v>16459</v>
      </c>
      <c r="AT12">
        <f t="shared" si="14"/>
        <v>16735.75</v>
      </c>
      <c r="AU12">
        <f t="shared" si="15"/>
        <v>0.93841028935064164</v>
      </c>
      <c r="AV12">
        <f t="shared" si="3"/>
        <v>0.92917728627801888</v>
      </c>
      <c r="AW12">
        <f t="shared" si="4"/>
        <v>16902.048975937741</v>
      </c>
      <c r="AX12">
        <f t="shared" si="5"/>
        <v>15826.981608643451</v>
      </c>
      <c r="AY12">
        <f t="shared" si="6"/>
        <v>14706.071821091437</v>
      </c>
    </row>
    <row r="13" spans="1:53" x14ac:dyDescent="0.2">
      <c r="A13" s="54">
        <f t="shared" si="7"/>
        <v>10</v>
      </c>
      <c r="B13" s="10">
        <v>15251</v>
      </c>
      <c r="D13" s="55">
        <f t="shared" si="10"/>
        <v>18388.5</v>
      </c>
      <c r="E13" s="4">
        <f t="shared" si="11"/>
        <v>3137.5</v>
      </c>
      <c r="F13" s="57">
        <f t="shared" si="12"/>
        <v>146736882.25</v>
      </c>
      <c r="H13" s="55">
        <f t="shared" si="16"/>
        <v>16861.666666666668</v>
      </c>
      <c r="I13" s="4">
        <f t="shared" si="17"/>
        <v>1610.6666666666679</v>
      </c>
      <c r="J13" s="57">
        <f t="shared" si="21"/>
        <v>1744160.4444444478</v>
      </c>
      <c r="L13" s="55">
        <f t="shared" si="22"/>
        <v>15834.25</v>
      </c>
      <c r="M13" s="4">
        <f t="shared" si="23"/>
        <v>583.25</v>
      </c>
      <c r="N13" s="57">
        <f t="shared" si="24"/>
        <v>340180.5625</v>
      </c>
      <c r="P13" s="55">
        <f t="shared" si="18"/>
        <v>15704.999730519372</v>
      </c>
      <c r="Q13" s="4">
        <f t="shared" si="19"/>
        <v>453.99973051937195</v>
      </c>
      <c r="R13" s="4">
        <f t="shared" si="20"/>
        <v>206115.75531166236</v>
      </c>
      <c r="T13" s="10"/>
      <c r="V13" s="9">
        <f t="shared" si="2"/>
        <v>14197.823353674919</v>
      </c>
      <c r="W13">
        <f t="shared" si="0"/>
        <v>1053.1766463250806</v>
      </c>
      <c r="X13">
        <f t="shared" si="1"/>
        <v>1109181.0483645438</v>
      </c>
      <c r="Z13" s="10"/>
      <c r="AB13" s="91"/>
      <c r="AC13" s="32" t="s">
        <v>110</v>
      </c>
      <c r="AD13" s="32" t="s">
        <v>111</v>
      </c>
      <c r="AE13" s="32" t="s">
        <v>112</v>
      </c>
      <c r="AF13" s="32" t="s">
        <v>113</v>
      </c>
      <c r="AG13" s="32" t="s">
        <v>114</v>
      </c>
      <c r="AH13" s="27"/>
      <c r="AI13" s="27"/>
      <c r="AJ13" s="87"/>
      <c r="AO13" s="45" t="s">
        <v>131</v>
      </c>
      <c r="AP13" s="45">
        <v>2014</v>
      </c>
      <c r="AQ13" s="2">
        <f t="shared" si="9"/>
        <v>10</v>
      </c>
      <c r="AR13" s="17">
        <v>15251</v>
      </c>
      <c r="AS13">
        <f t="shared" si="13"/>
        <v>17012.5</v>
      </c>
      <c r="AT13">
        <f t="shared" si="14"/>
        <v>17266.25</v>
      </c>
      <c r="AU13">
        <f t="shared" si="15"/>
        <v>0.88328386302758266</v>
      </c>
      <c r="AV13">
        <f t="shared" si="3"/>
        <v>0.91190964756053527</v>
      </c>
      <c r="AW13">
        <f t="shared" si="4"/>
        <v>16724.244601203864</v>
      </c>
      <c r="AX13">
        <f t="shared" si="5"/>
        <v>17118.096662665059</v>
      </c>
      <c r="AY13">
        <f t="shared" si="6"/>
        <v>15610.157494558069</v>
      </c>
    </row>
    <row r="14" spans="1:53" x14ac:dyDescent="0.2">
      <c r="A14" s="54">
        <f t="shared" si="7"/>
        <v>11</v>
      </c>
      <c r="B14" s="10">
        <v>16022</v>
      </c>
      <c r="D14" s="55">
        <f t="shared" si="10"/>
        <v>15478</v>
      </c>
      <c r="E14" s="4">
        <f t="shared" si="11"/>
        <v>544</v>
      </c>
      <c r="F14" s="57">
        <f t="shared" si="12"/>
        <v>239568484</v>
      </c>
      <c r="H14" s="55">
        <f t="shared" si="16"/>
        <v>17342.666666666668</v>
      </c>
      <c r="I14" s="4">
        <f t="shared" si="17"/>
        <v>1320.6666666666679</v>
      </c>
      <c r="J14" s="57">
        <f t="shared" si="21"/>
        <v>55393287.111111104</v>
      </c>
      <c r="L14" s="55">
        <f t="shared" si="22"/>
        <v>16459</v>
      </c>
      <c r="M14" s="4">
        <f t="shared" si="23"/>
        <v>437</v>
      </c>
      <c r="N14" s="57">
        <f t="shared" si="24"/>
        <v>190969</v>
      </c>
      <c r="P14" s="55">
        <f t="shared" si="18"/>
        <v>15250.999743327224</v>
      </c>
      <c r="Q14" s="4">
        <f t="shared" si="19"/>
        <v>771.00025667277623</v>
      </c>
      <c r="R14" s="4">
        <f t="shared" si="20"/>
        <v>594441.39578948682</v>
      </c>
      <c r="T14" s="10"/>
      <c r="V14" s="9">
        <f t="shared" si="2"/>
        <v>14355.79985062368</v>
      </c>
      <c r="W14">
        <f t="shared" si="0"/>
        <v>1666.20014937632</v>
      </c>
      <c r="X14">
        <f t="shared" si="1"/>
        <v>2776222.9377816711</v>
      </c>
      <c r="Z14" s="10"/>
      <c r="AB14" s="86" t="s">
        <v>106</v>
      </c>
      <c r="AC14" s="27">
        <v>1</v>
      </c>
      <c r="AD14" s="27">
        <v>17357409286.334713</v>
      </c>
      <c r="AE14" s="27">
        <v>17357409286.334713</v>
      </c>
      <c r="AF14" s="27">
        <v>430.48154877020903</v>
      </c>
      <c r="AG14" s="27">
        <v>1.3003929073785543E-25</v>
      </c>
      <c r="AH14" s="27"/>
      <c r="AI14" s="27"/>
      <c r="AJ14" s="87"/>
      <c r="AO14" s="45" t="s">
        <v>132</v>
      </c>
      <c r="AP14" s="45">
        <v>2014</v>
      </c>
      <c r="AQ14" s="2">
        <f t="shared" si="9"/>
        <v>11</v>
      </c>
      <c r="AR14" s="17">
        <v>16022</v>
      </c>
      <c r="AS14">
        <f t="shared" si="13"/>
        <v>17520</v>
      </c>
      <c r="AT14">
        <f t="shared" si="14"/>
        <v>17692.375</v>
      </c>
      <c r="AU14">
        <f t="shared" si="15"/>
        <v>0.90558785917662266</v>
      </c>
      <c r="AV14">
        <f t="shared" si="3"/>
        <v>1.0135546225959615</v>
      </c>
      <c r="AW14">
        <f t="shared" si="4"/>
        <v>15807.732156520322</v>
      </c>
      <c r="AX14">
        <f t="shared" si="5"/>
        <v>18409.211716686666</v>
      </c>
      <c r="AY14">
        <f t="shared" si="6"/>
        <v>18658.741633795507</v>
      </c>
    </row>
    <row r="15" spans="1:53" x14ac:dyDescent="0.2">
      <c r="A15" s="54">
        <f t="shared" si="7"/>
        <v>12</v>
      </c>
      <c r="B15" s="10">
        <f>70080-SUM(B12:B14)</f>
        <v>23102</v>
      </c>
      <c r="D15" s="55">
        <f t="shared" si="10"/>
        <v>15636.5</v>
      </c>
      <c r="E15" s="4">
        <f t="shared" si="11"/>
        <v>7465.5</v>
      </c>
      <c r="F15" s="57">
        <f t="shared" si="12"/>
        <v>244500132.25</v>
      </c>
      <c r="H15" s="55">
        <f t="shared" si="16"/>
        <v>15659.333333333334</v>
      </c>
      <c r="I15" s="4">
        <f t="shared" si="17"/>
        <v>7442.6666666666661</v>
      </c>
      <c r="J15" s="57">
        <f t="shared" si="21"/>
        <v>1083681</v>
      </c>
      <c r="L15" s="55">
        <f t="shared" si="22"/>
        <v>17012.5</v>
      </c>
      <c r="M15" s="4">
        <f t="shared" si="23"/>
        <v>6089.5</v>
      </c>
      <c r="N15" s="57">
        <f t="shared" si="24"/>
        <v>37082010.25</v>
      </c>
      <c r="P15" s="55">
        <f t="shared" si="18"/>
        <v>16021.99972245227</v>
      </c>
      <c r="Q15" s="4">
        <f t="shared" si="19"/>
        <v>7080.0002775477296</v>
      </c>
      <c r="R15" s="4">
        <f t="shared" si="20"/>
        <v>50126403.930075929</v>
      </c>
      <c r="T15" s="10"/>
      <c r="V15" s="9">
        <f t="shared" si="2"/>
        <v>14605.729873030126</v>
      </c>
      <c r="W15">
        <f t="shared" si="0"/>
        <v>8496.2701269698737</v>
      </c>
      <c r="X15">
        <f t="shared" si="1"/>
        <v>72186606.07044068</v>
      </c>
      <c r="Z15" s="10"/>
      <c r="AB15" s="86" t="s">
        <v>107</v>
      </c>
      <c r="AC15" s="27">
        <v>48</v>
      </c>
      <c r="AD15" s="27">
        <v>1935403847.4452815</v>
      </c>
      <c r="AE15" s="27">
        <v>40320913.488443367</v>
      </c>
      <c r="AF15" s="27"/>
      <c r="AG15" s="27"/>
      <c r="AH15" s="27"/>
      <c r="AI15" s="27"/>
      <c r="AJ15" s="87"/>
      <c r="AO15" s="45" t="s">
        <v>133</v>
      </c>
      <c r="AP15" s="45">
        <v>2014</v>
      </c>
      <c r="AQ15" s="2">
        <f t="shared" si="9"/>
        <v>12</v>
      </c>
      <c r="AR15" s="17">
        <f>70080-SUM(AR12:AR14)</f>
        <v>23102</v>
      </c>
      <c r="AS15">
        <f t="shared" si="13"/>
        <v>17864.75</v>
      </c>
      <c r="AT15">
        <f t="shared" si="14"/>
        <v>18096.375</v>
      </c>
      <c r="AU15">
        <f t="shared" si="15"/>
        <v>1.2766092656678478</v>
      </c>
      <c r="AV15">
        <f t="shared" si="3"/>
        <v>1.2253380598827457</v>
      </c>
      <c r="AW15">
        <f t="shared" si="4"/>
        <v>18853.572541614078</v>
      </c>
      <c r="AX15">
        <f t="shared" si="5"/>
        <v>19700.326770708278</v>
      </c>
      <c r="AY15">
        <f t="shared" si="6"/>
        <v>24139.560184275797</v>
      </c>
    </row>
    <row r="16" spans="1:53" ht="16" thickBot="1" x14ac:dyDescent="0.25">
      <c r="A16" s="54">
        <f t="shared" si="7"/>
        <v>13</v>
      </c>
      <c r="B16" s="10">
        <v>17084</v>
      </c>
      <c r="D16" s="55">
        <f t="shared" si="10"/>
        <v>19562</v>
      </c>
      <c r="E16" s="4">
        <f t="shared" si="11"/>
        <v>2478</v>
      </c>
      <c r="F16" s="57">
        <f t="shared" si="12"/>
        <v>213335236</v>
      </c>
      <c r="H16" s="55">
        <f t="shared" si="16"/>
        <v>18125</v>
      </c>
      <c r="I16" s="4">
        <f t="shared" si="17"/>
        <v>1041</v>
      </c>
      <c r="J16" s="57">
        <f t="shared" si="21"/>
        <v>2663424</v>
      </c>
      <c r="L16" s="55">
        <f t="shared" si="22"/>
        <v>17520</v>
      </c>
      <c r="M16" s="4">
        <f t="shared" si="23"/>
        <v>436</v>
      </c>
      <c r="N16" s="57">
        <f t="shared" si="24"/>
        <v>190096</v>
      </c>
      <c r="P16" s="55">
        <f t="shared" si="18"/>
        <v>23101.999587536568</v>
      </c>
      <c r="Q16" s="4">
        <f t="shared" si="19"/>
        <v>6017.9995875365676</v>
      </c>
      <c r="R16" s="4">
        <f t="shared" si="20"/>
        <v>36216319.035590298</v>
      </c>
      <c r="T16" s="10"/>
      <c r="V16" s="9">
        <f t="shared" si="2"/>
        <v>15880.170392075606</v>
      </c>
      <c r="W16">
        <f t="shared" si="0"/>
        <v>1203.8296079243937</v>
      </c>
      <c r="X16">
        <f t="shared" si="1"/>
        <v>1449205.7249153994</v>
      </c>
      <c r="Z16" s="10"/>
      <c r="AB16" s="90" t="s">
        <v>108</v>
      </c>
      <c r="AC16" s="33">
        <v>49</v>
      </c>
      <c r="AD16" s="33">
        <v>19292813133.779995</v>
      </c>
      <c r="AE16" s="33"/>
      <c r="AF16" s="33"/>
      <c r="AG16" s="33"/>
      <c r="AH16" s="27"/>
      <c r="AI16" s="27"/>
      <c r="AJ16" s="87"/>
      <c r="AO16" s="45" t="s">
        <v>130</v>
      </c>
      <c r="AP16" s="45">
        <v>2015</v>
      </c>
      <c r="AQ16" s="2">
        <f t="shared" si="9"/>
        <v>13</v>
      </c>
      <c r="AR16" s="17">
        <v>17084</v>
      </c>
      <c r="AS16">
        <f t="shared" si="13"/>
        <v>18328</v>
      </c>
      <c r="AT16">
        <f t="shared" si="14"/>
        <v>18633.125</v>
      </c>
      <c r="AU16">
        <f t="shared" si="15"/>
        <v>0.91686177171032768</v>
      </c>
      <c r="AV16">
        <f t="shared" si="3"/>
        <v>0.92917728627801888</v>
      </c>
      <c r="AW16">
        <f t="shared" si="4"/>
        <v>18386.157574334313</v>
      </c>
      <c r="AX16">
        <f t="shared" si="5"/>
        <v>20991.441824729885</v>
      </c>
      <c r="AY16">
        <f t="shared" si="6"/>
        <v>19504.770949765421</v>
      </c>
    </row>
    <row r="17" spans="1:51" ht="16" thickBot="1" x14ac:dyDescent="0.25">
      <c r="A17" s="54">
        <f t="shared" si="7"/>
        <v>14</v>
      </c>
      <c r="B17" s="10">
        <v>17104</v>
      </c>
      <c r="D17" s="55">
        <f t="shared" si="10"/>
        <v>20093</v>
      </c>
      <c r="E17" s="4">
        <f t="shared" si="11"/>
        <v>2989</v>
      </c>
      <c r="F17" s="57">
        <f t="shared" si="12"/>
        <v>199233225</v>
      </c>
      <c r="H17" s="55">
        <f t="shared" si="16"/>
        <v>18736</v>
      </c>
      <c r="I17" s="4">
        <f t="shared" si="17"/>
        <v>1632</v>
      </c>
      <c r="J17" s="57">
        <f t="shared" si="21"/>
        <v>401533.44444444601</v>
      </c>
      <c r="L17" s="55">
        <f t="shared" si="22"/>
        <v>17864.75</v>
      </c>
      <c r="M17" s="4">
        <f t="shared" si="23"/>
        <v>760.75</v>
      </c>
      <c r="N17" s="57">
        <f t="shared" si="24"/>
        <v>578740.5625</v>
      </c>
      <c r="P17" s="55">
        <f t="shared" si="18"/>
        <v>17083.999708076957</v>
      </c>
      <c r="Q17" s="4">
        <f t="shared" si="19"/>
        <v>20.000291923042823</v>
      </c>
      <c r="R17" s="4">
        <f t="shared" si="20"/>
        <v>400.01167700693202</v>
      </c>
      <c r="T17" s="10"/>
      <c r="V17" s="9">
        <f t="shared" si="2"/>
        <v>16060.744833264265</v>
      </c>
      <c r="W17">
        <f t="shared" si="0"/>
        <v>1043.2551667357347</v>
      </c>
      <c r="X17">
        <f t="shared" si="1"/>
        <v>1088381.3429208058</v>
      </c>
      <c r="Z17" s="10"/>
      <c r="AB17" s="86"/>
      <c r="AC17" s="27"/>
      <c r="AD17" s="27"/>
      <c r="AE17" s="27"/>
      <c r="AF17" s="27"/>
      <c r="AG17" s="27"/>
      <c r="AH17" s="27"/>
      <c r="AI17" s="27"/>
      <c r="AJ17" s="87"/>
      <c r="AO17" s="45" t="s">
        <v>131</v>
      </c>
      <c r="AP17" s="45">
        <v>2015</v>
      </c>
      <c r="AQ17" s="2">
        <f t="shared" si="9"/>
        <v>14</v>
      </c>
      <c r="AR17" s="17">
        <v>17104</v>
      </c>
      <c r="AS17">
        <f t="shared" si="13"/>
        <v>18938.25</v>
      </c>
      <c r="AT17">
        <f t="shared" si="14"/>
        <v>19377.625</v>
      </c>
      <c r="AU17">
        <f t="shared" si="15"/>
        <v>0.88266750956322049</v>
      </c>
      <c r="AV17">
        <f t="shared" si="3"/>
        <v>0.91190964756053527</v>
      </c>
      <c r="AW17">
        <f t="shared" si="4"/>
        <v>18756.244158349673</v>
      </c>
      <c r="AX17">
        <f t="shared" si="5"/>
        <v>22282.556878751493</v>
      </c>
      <c r="AY17">
        <f t="shared" si="6"/>
        <v>20319.678590049854</v>
      </c>
    </row>
    <row r="18" spans="1:51" x14ac:dyDescent="0.2">
      <c r="A18" s="54">
        <f t="shared" si="7"/>
        <v>15</v>
      </c>
      <c r="B18" s="10">
        <v>18463</v>
      </c>
      <c r="D18" s="55">
        <f t="shared" si="10"/>
        <v>17094</v>
      </c>
      <c r="E18" s="4">
        <f t="shared" si="11"/>
        <v>1369</v>
      </c>
      <c r="F18" s="57">
        <f t="shared" si="12"/>
        <v>292204836</v>
      </c>
      <c r="H18" s="55">
        <f t="shared" si="16"/>
        <v>19096.666666666668</v>
      </c>
      <c r="I18" s="4">
        <f t="shared" si="17"/>
        <v>633.66666666666788</v>
      </c>
      <c r="J18" s="57">
        <f t="shared" si="21"/>
        <v>82204444.444444463</v>
      </c>
      <c r="L18" s="55">
        <f t="shared" si="22"/>
        <v>18328</v>
      </c>
      <c r="M18" s="4">
        <f t="shared" si="23"/>
        <v>135</v>
      </c>
      <c r="N18" s="57">
        <f t="shared" si="24"/>
        <v>18225</v>
      </c>
      <c r="P18" s="55">
        <f t="shared" si="18"/>
        <v>17103.999711190365</v>
      </c>
      <c r="Q18" s="4">
        <f t="shared" si="19"/>
        <v>1359.0002888096351</v>
      </c>
      <c r="R18" s="4">
        <f t="shared" si="20"/>
        <v>1846881.7849846715</v>
      </c>
      <c r="T18" s="10"/>
      <c r="V18" s="9">
        <f t="shared" si="2"/>
        <v>16217.233108274626</v>
      </c>
      <c r="W18">
        <f t="shared" si="0"/>
        <v>2245.7668917253741</v>
      </c>
      <c r="X18">
        <f t="shared" si="1"/>
        <v>5043468.9319698485</v>
      </c>
      <c r="Z18" s="10"/>
      <c r="AB18" s="91"/>
      <c r="AC18" s="32" t="s">
        <v>115</v>
      </c>
      <c r="AD18" s="32" t="s">
        <v>103</v>
      </c>
      <c r="AE18" s="32" t="s">
        <v>116</v>
      </c>
      <c r="AF18" s="115" t="s">
        <v>117</v>
      </c>
      <c r="AG18" s="32" t="s">
        <v>118</v>
      </c>
      <c r="AH18" s="32" t="s">
        <v>119</v>
      </c>
      <c r="AI18" s="32" t="s">
        <v>120</v>
      </c>
      <c r="AJ18" s="92" t="s">
        <v>121</v>
      </c>
      <c r="AK18" s="6"/>
      <c r="AL18" s="6"/>
      <c r="AM18" s="6"/>
      <c r="AO18" s="45" t="s">
        <v>132</v>
      </c>
      <c r="AP18" s="45">
        <v>2015</v>
      </c>
      <c r="AQ18" s="2">
        <f t="shared" si="9"/>
        <v>15</v>
      </c>
      <c r="AR18" s="17">
        <v>18463</v>
      </c>
      <c r="AS18">
        <f t="shared" si="13"/>
        <v>19817</v>
      </c>
      <c r="AT18">
        <f t="shared" si="14"/>
        <v>20254.125</v>
      </c>
      <c r="AU18">
        <f t="shared" si="15"/>
        <v>0.91156739676485654</v>
      </c>
      <c r="AV18">
        <f t="shared" si="3"/>
        <v>1.0135546225959615</v>
      </c>
      <c r="AW18">
        <f t="shared" si="4"/>
        <v>18216.087804633298</v>
      </c>
      <c r="AX18">
        <f t="shared" si="5"/>
        <v>23573.671932773104</v>
      </c>
      <c r="AY18">
        <f t="shared" si="6"/>
        <v>23893.204159022855</v>
      </c>
    </row>
    <row r="19" spans="1:51" x14ac:dyDescent="0.2">
      <c r="A19" s="54">
        <f t="shared" si="7"/>
        <v>16</v>
      </c>
      <c r="B19" s="10">
        <f>79268-SUM(B16:B18)</f>
        <v>26617</v>
      </c>
      <c r="D19" s="55">
        <f t="shared" si="10"/>
        <v>17783.5</v>
      </c>
      <c r="E19" s="4">
        <f t="shared" si="11"/>
        <v>8833.5</v>
      </c>
      <c r="F19" s="57">
        <f t="shared" si="12"/>
        <v>316252872.25</v>
      </c>
      <c r="H19" s="55">
        <f t="shared" si="16"/>
        <v>17550.333333333332</v>
      </c>
      <c r="I19" s="4">
        <f t="shared" si="17"/>
        <v>9066.6666666666679</v>
      </c>
      <c r="J19" s="57">
        <f t="shared" si="21"/>
        <v>21609</v>
      </c>
      <c r="L19" s="55">
        <f t="shared" si="22"/>
        <v>18938.25</v>
      </c>
      <c r="M19" s="4">
        <f t="shared" si="23"/>
        <v>7678.75</v>
      </c>
      <c r="N19" s="57">
        <f t="shared" si="24"/>
        <v>58963201.5625</v>
      </c>
      <c r="P19" s="55">
        <f t="shared" si="18"/>
        <v>18462.999678729509</v>
      </c>
      <c r="Q19" s="4">
        <f t="shared" si="19"/>
        <v>8154.0003212704905</v>
      </c>
      <c r="R19" s="4">
        <f t="shared" si="20"/>
        <v>66487721.239279263</v>
      </c>
      <c r="T19" s="10"/>
      <c r="V19" s="9">
        <f t="shared" si="2"/>
        <v>16554.098142033432</v>
      </c>
      <c r="W19">
        <f t="shared" si="0"/>
        <v>10062.901857966568</v>
      </c>
      <c r="X19">
        <f t="shared" si="1"/>
        <v>101261993.80306701</v>
      </c>
      <c r="Z19" s="10"/>
      <c r="AB19" s="86" t="s">
        <v>109</v>
      </c>
      <c r="AC19" s="27">
        <v>4206.9461224489714</v>
      </c>
      <c r="AD19" s="27">
        <v>1823.298706557124</v>
      </c>
      <c r="AE19" s="27">
        <v>2.3073268835871725</v>
      </c>
      <c r="AF19" s="17">
        <v>2.5393749194427089E-2</v>
      </c>
      <c r="AG19" s="27">
        <v>540.95836951391402</v>
      </c>
      <c r="AH19" s="27">
        <v>7872.9338753840293</v>
      </c>
      <c r="AI19" s="27">
        <v>540.95836951391402</v>
      </c>
      <c r="AJ19" s="87">
        <v>7872.9338753840293</v>
      </c>
      <c r="AO19" s="45" t="s">
        <v>133</v>
      </c>
      <c r="AP19" s="45">
        <v>2015</v>
      </c>
      <c r="AQ19" s="2">
        <f t="shared" si="9"/>
        <v>16</v>
      </c>
      <c r="AR19" s="17">
        <f>79268-SUM(AR16:AR18)</f>
        <v>26617</v>
      </c>
      <c r="AS19">
        <f t="shared" si="13"/>
        <v>20691.25</v>
      </c>
      <c r="AT19">
        <f t="shared" si="14"/>
        <v>21192.75</v>
      </c>
      <c r="AU19">
        <f t="shared" si="15"/>
        <v>1.2559483785728609</v>
      </c>
      <c r="AV19">
        <f t="shared" si="3"/>
        <v>1.2253380598827457</v>
      </c>
      <c r="AW19">
        <f t="shared" si="4"/>
        <v>21722.16865813098</v>
      </c>
      <c r="AX19">
        <f t="shared" si="5"/>
        <v>24864.786986794712</v>
      </c>
      <c r="AY19">
        <f t="shared" si="6"/>
        <v>30467.769845796774</v>
      </c>
    </row>
    <row r="20" spans="1:51" ht="16" thickBot="1" x14ac:dyDescent="0.25">
      <c r="A20" s="54">
        <f t="shared" si="7"/>
        <v>17</v>
      </c>
      <c r="B20" s="10">
        <v>20581</v>
      </c>
      <c r="D20" s="55">
        <f t="shared" si="10"/>
        <v>22540</v>
      </c>
      <c r="E20" s="4">
        <f t="shared" si="11"/>
        <v>1959</v>
      </c>
      <c r="F20" s="57">
        <f t="shared" si="12"/>
        <v>346778884</v>
      </c>
      <c r="H20" s="55">
        <f t="shared" si="16"/>
        <v>20728</v>
      </c>
      <c r="I20" s="4">
        <f t="shared" si="17"/>
        <v>147</v>
      </c>
      <c r="J20" s="57">
        <f t="shared" si="21"/>
        <v>594441</v>
      </c>
      <c r="L20" s="55">
        <f t="shared" si="22"/>
        <v>19817</v>
      </c>
      <c r="M20" s="4">
        <f t="shared" si="23"/>
        <v>764</v>
      </c>
      <c r="N20" s="57">
        <f t="shared" si="24"/>
        <v>583696</v>
      </c>
      <c r="P20" s="55">
        <f t="shared" si="18"/>
        <v>26616.999524271723</v>
      </c>
      <c r="Q20" s="4">
        <f t="shared" si="19"/>
        <v>6035.9995242717232</v>
      </c>
      <c r="R20" s="4">
        <f t="shared" si="20"/>
        <v>36433290.257008471</v>
      </c>
      <c r="T20" s="10"/>
      <c r="V20" s="9">
        <f t="shared" si="2"/>
        <v>18063.533420728418</v>
      </c>
      <c r="W20">
        <f t="shared" si="0"/>
        <v>2517.4665792715823</v>
      </c>
      <c r="X20">
        <f t="shared" si="1"/>
        <v>6337637.9777493617</v>
      </c>
      <c r="Z20" s="10"/>
      <c r="AB20" s="90" t="s">
        <v>142</v>
      </c>
      <c r="AC20" s="33">
        <v>1291.1150540216088</v>
      </c>
      <c r="AD20" s="33">
        <v>62.228262369646643</v>
      </c>
      <c r="AE20" s="33">
        <v>20.748049276262321</v>
      </c>
      <c r="AF20" s="46">
        <v>1.3003929073785446E-25</v>
      </c>
      <c r="AG20" s="33">
        <v>1165.9967467946371</v>
      </c>
      <c r="AH20" s="33">
        <v>1416.2333612485804</v>
      </c>
      <c r="AI20" s="33">
        <v>1165.9967467946371</v>
      </c>
      <c r="AJ20" s="93">
        <v>1416.2333612485804</v>
      </c>
      <c r="AO20" s="45" t="s">
        <v>130</v>
      </c>
      <c r="AP20" s="45">
        <v>2016</v>
      </c>
      <c r="AQ20" s="2">
        <f t="shared" si="9"/>
        <v>17</v>
      </c>
      <c r="AR20" s="17">
        <v>20581</v>
      </c>
      <c r="AS20">
        <f t="shared" si="13"/>
        <v>21694.25</v>
      </c>
      <c r="AT20">
        <f t="shared" si="14"/>
        <v>22178.75</v>
      </c>
      <c r="AU20">
        <f t="shared" si="15"/>
        <v>0.92796032238065718</v>
      </c>
      <c r="AV20">
        <f t="shared" si="3"/>
        <v>0.92917728627801888</v>
      </c>
      <c r="AW20">
        <f t="shared" si="4"/>
        <v>22149.702004060789</v>
      </c>
      <c r="AX20">
        <f t="shared" si="5"/>
        <v>26155.90204081632</v>
      </c>
      <c r="AY20">
        <f t="shared" si="6"/>
        <v>24303.470078439404</v>
      </c>
    </row>
    <row r="21" spans="1:51" x14ac:dyDescent="0.2">
      <c r="A21" s="54">
        <f t="shared" si="7"/>
        <v>18</v>
      </c>
      <c r="B21" s="10">
        <v>21116</v>
      </c>
      <c r="D21" s="55">
        <f t="shared" si="10"/>
        <v>23599</v>
      </c>
      <c r="E21" s="4">
        <f t="shared" si="11"/>
        <v>2483</v>
      </c>
      <c r="F21" s="57">
        <f t="shared" si="12"/>
        <v>347188689</v>
      </c>
      <c r="H21" s="55">
        <f t="shared" si="16"/>
        <v>21887</v>
      </c>
      <c r="I21" s="4">
        <f t="shared" si="17"/>
        <v>771</v>
      </c>
      <c r="J21" s="57">
        <f t="shared" si="21"/>
        <v>186912.11111111008</v>
      </c>
      <c r="L21" s="55">
        <f t="shared" si="22"/>
        <v>20691.25</v>
      </c>
      <c r="M21" s="4">
        <f t="shared" si="23"/>
        <v>424.75</v>
      </c>
      <c r="N21" s="57">
        <f t="shared" si="24"/>
        <v>180412.5625</v>
      </c>
      <c r="P21" s="55">
        <f t="shared" si="18"/>
        <v>20580.999646552609</v>
      </c>
      <c r="Q21" s="4">
        <f t="shared" si="19"/>
        <v>535.00035344739081</v>
      </c>
      <c r="R21" s="4">
        <f t="shared" si="20"/>
        <v>286225.37818883307</v>
      </c>
      <c r="T21" s="10"/>
      <c r="V21" s="9">
        <f t="shared" si="2"/>
        <v>18441.153407619156</v>
      </c>
      <c r="W21">
        <f t="shared" si="0"/>
        <v>2674.8465923808435</v>
      </c>
      <c r="X21">
        <f t="shared" si="1"/>
        <v>7154804.2927714102</v>
      </c>
      <c r="Z21" s="10"/>
      <c r="AB21" s="86"/>
      <c r="AC21" s="27"/>
      <c r="AD21" s="27"/>
      <c r="AE21" s="27"/>
      <c r="AF21" s="27"/>
      <c r="AG21" s="27"/>
      <c r="AH21" s="27"/>
      <c r="AI21" s="27"/>
      <c r="AJ21" s="87"/>
      <c r="AO21" s="45" t="s">
        <v>131</v>
      </c>
      <c r="AP21" s="45">
        <v>2016</v>
      </c>
      <c r="AQ21" s="2">
        <f t="shared" si="9"/>
        <v>18</v>
      </c>
      <c r="AR21" s="17">
        <v>21116</v>
      </c>
      <c r="AS21">
        <f t="shared" si="13"/>
        <v>22663.25</v>
      </c>
      <c r="AT21">
        <f t="shared" si="14"/>
        <v>23164.75</v>
      </c>
      <c r="AU21">
        <f t="shared" si="15"/>
        <v>0.91155743101047926</v>
      </c>
      <c r="AV21">
        <f t="shared" si="3"/>
        <v>0.91190964756053527</v>
      </c>
      <c r="AW21">
        <f t="shared" si="4"/>
        <v>23155.802832536934</v>
      </c>
      <c r="AX21">
        <f t="shared" si="5"/>
        <v>27447.017094837931</v>
      </c>
      <c r="AY21">
        <f t="shared" si="6"/>
        <v>25029.199685541644</v>
      </c>
    </row>
    <row r="22" spans="1:51" ht="16" thickBot="1" x14ac:dyDescent="0.25">
      <c r="A22" s="54">
        <f t="shared" si="7"/>
        <v>19</v>
      </c>
      <c r="B22" s="10">
        <v>22339</v>
      </c>
      <c r="D22" s="55">
        <f t="shared" si="10"/>
        <v>20848.5</v>
      </c>
      <c r="E22" s="4">
        <f t="shared" si="11"/>
        <v>1490.5</v>
      </c>
      <c r="F22" s="57">
        <f t="shared" si="12"/>
        <v>434659952.25</v>
      </c>
      <c r="H22" s="55">
        <f t="shared" si="16"/>
        <v>22771.333333333332</v>
      </c>
      <c r="I22" s="4">
        <f t="shared" si="17"/>
        <v>432.33333333333212</v>
      </c>
      <c r="J22" s="57">
        <f t="shared" si="21"/>
        <v>86186466.777777806</v>
      </c>
      <c r="L22" s="55">
        <f t="shared" si="22"/>
        <v>21694.25</v>
      </c>
      <c r="M22" s="4">
        <f t="shared" si="23"/>
        <v>644.75</v>
      </c>
      <c r="N22" s="57">
        <f t="shared" si="24"/>
        <v>415702.5625</v>
      </c>
      <c r="P22" s="55">
        <f t="shared" si="18"/>
        <v>21115.9996410085</v>
      </c>
      <c r="Q22" s="4">
        <f t="shared" si="19"/>
        <v>1223.0003589914995</v>
      </c>
      <c r="R22" s="4">
        <f t="shared" si="20"/>
        <v>1495729.8780933367</v>
      </c>
      <c r="T22" s="10"/>
      <c r="V22" s="9">
        <f t="shared" si="2"/>
        <v>18842.380396476285</v>
      </c>
      <c r="W22">
        <f t="shared" si="0"/>
        <v>3496.6196035237153</v>
      </c>
      <c r="X22">
        <f t="shared" si="1"/>
        <v>12226348.651746344</v>
      </c>
      <c r="Z22" s="10"/>
      <c r="AB22" s="90"/>
      <c r="AC22" s="33"/>
      <c r="AD22" s="33"/>
      <c r="AE22" s="33"/>
      <c r="AF22" s="13" t="s">
        <v>122</v>
      </c>
      <c r="AG22" s="33"/>
      <c r="AH22" s="33"/>
      <c r="AI22" s="33"/>
      <c r="AJ22" s="93"/>
      <c r="AO22" s="45" t="s">
        <v>132</v>
      </c>
      <c r="AP22" s="45">
        <v>2016</v>
      </c>
      <c r="AQ22" s="2">
        <f t="shared" si="9"/>
        <v>19</v>
      </c>
      <c r="AR22" s="17">
        <v>22339</v>
      </c>
      <c r="AS22">
        <f t="shared" si="13"/>
        <v>23666.25</v>
      </c>
      <c r="AT22">
        <f t="shared" si="14"/>
        <v>24060.375</v>
      </c>
      <c r="AU22">
        <f t="shared" si="15"/>
        <v>0.92845601949263057</v>
      </c>
      <c r="AV22">
        <f t="shared" si="3"/>
        <v>1.0135546225959615</v>
      </c>
      <c r="AW22">
        <f t="shared" si="4"/>
        <v>22040.252692829079</v>
      </c>
      <c r="AX22">
        <f t="shared" si="5"/>
        <v>28738.132148859539</v>
      </c>
      <c r="AY22">
        <f t="shared" si="6"/>
        <v>29127.666684250198</v>
      </c>
    </row>
    <row r="23" spans="1:51" x14ac:dyDescent="0.2">
      <c r="A23" s="54">
        <f t="shared" si="7"/>
        <v>20</v>
      </c>
      <c r="B23" s="10">
        <f>94665-SUM(B20:B22)</f>
        <v>30629</v>
      </c>
      <c r="D23" s="55">
        <f t="shared" si="10"/>
        <v>21727.5</v>
      </c>
      <c r="E23" s="4">
        <f t="shared" si="11"/>
        <v>8901.5</v>
      </c>
      <c r="F23" s="57">
        <f t="shared" si="12"/>
        <v>472084256.25</v>
      </c>
      <c r="H23" s="55">
        <f t="shared" si="16"/>
        <v>21345.333333333332</v>
      </c>
      <c r="I23" s="4">
        <f t="shared" si="17"/>
        <v>9283.6666666666679</v>
      </c>
      <c r="J23" s="57">
        <f t="shared" si="21"/>
        <v>922880.44444444682</v>
      </c>
      <c r="L23" s="55">
        <f t="shared" si="22"/>
        <v>22663.25</v>
      </c>
      <c r="M23" s="4">
        <f t="shared" si="23"/>
        <v>7965.75</v>
      </c>
      <c r="N23" s="57">
        <f t="shared" si="24"/>
        <v>63453173.0625</v>
      </c>
      <c r="P23" s="55">
        <f t="shared" si="18"/>
        <v>22338.999611482792</v>
      </c>
      <c r="Q23" s="4">
        <f t="shared" si="19"/>
        <v>8290.0003885172082</v>
      </c>
      <c r="R23" s="4">
        <f t="shared" si="20"/>
        <v>68724106.441615462</v>
      </c>
      <c r="T23" s="10"/>
      <c r="V23" s="9">
        <f t="shared" si="2"/>
        <v>19366.873337004839</v>
      </c>
      <c r="W23">
        <f t="shared" si="0"/>
        <v>11262.126662995161</v>
      </c>
      <c r="X23">
        <f t="shared" si="1"/>
        <v>126835496.97334652</v>
      </c>
      <c r="Z23" s="10"/>
      <c r="AO23" s="45" t="s">
        <v>133</v>
      </c>
      <c r="AP23" s="45">
        <v>2016</v>
      </c>
      <c r="AQ23" s="2">
        <f t="shared" si="9"/>
        <v>20</v>
      </c>
      <c r="AR23" s="17">
        <f>94665-SUM(AR20:AR22)</f>
        <v>30629</v>
      </c>
      <c r="AS23">
        <f t="shared" si="13"/>
        <v>24454.5</v>
      </c>
      <c r="AT23">
        <f t="shared" si="14"/>
        <v>24908.125</v>
      </c>
      <c r="AU23">
        <f t="shared" si="15"/>
        <v>1.2296790705843976</v>
      </c>
      <c r="AV23">
        <f t="shared" si="3"/>
        <v>1.2253380598827457</v>
      </c>
      <c r="AW23">
        <f t="shared" si="4"/>
        <v>24996.367127395792</v>
      </c>
      <c r="AX23">
        <f t="shared" si="5"/>
        <v>30029.247202881146</v>
      </c>
      <c r="AY23">
        <f t="shared" si="6"/>
        <v>36795.979507317752</v>
      </c>
    </row>
    <row r="24" spans="1:51" x14ac:dyDescent="0.2">
      <c r="A24" s="54">
        <f t="shared" si="7"/>
        <v>21</v>
      </c>
      <c r="B24" s="10">
        <v>23734</v>
      </c>
      <c r="D24" s="55">
        <f t="shared" si="10"/>
        <v>26484</v>
      </c>
      <c r="E24" s="4">
        <f t="shared" si="11"/>
        <v>2750</v>
      </c>
      <c r="F24" s="57">
        <f t="shared" si="12"/>
        <v>440328256</v>
      </c>
      <c r="H24" s="55">
        <f t="shared" si="16"/>
        <v>24694.666666666668</v>
      </c>
      <c r="I24" s="4">
        <f t="shared" si="17"/>
        <v>960.66666666666788</v>
      </c>
      <c r="J24" s="57">
        <f t="shared" si="21"/>
        <v>676232.11111110914</v>
      </c>
      <c r="L24" s="55">
        <f t="shared" si="22"/>
        <v>23666.25</v>
      </c>
      <c r="M24" s="4">
        <f t="shared" si="23"/>
        <v>67.75</v>
      </c>
      <c r="N24" s="57">
        <f t="shared" si="24"/>
        <v>4590.0625</v>
      </c>
      <c r="P24" s="55">
        <f t="shared" si="18"/>
        <v>30628.999454898982</v>
      </c>
      <c r="Q24" s="4">
        <f t="shared" si="19"/>
        <v>6894.9994548989816</v>
      </c>
      <c r="R24" s="4">
        <f t="shared" si="20"/>
        <v>47541017.483057253</v>
      </c>
      <c r="T24" s="10"/>
      <c r="V24" s="9">
        <f t="shared" si="2"/>
        <v>21056.192336454111</v>
      </c>
      <c r="W24">
        <f t="shared" si="0"/>
        <v>2677.8076635458892</v>
      </c>
      <c r="X24">
        <f t="shared" si="1"/>
        <v>7170653.8829450943</v>
      </c>
      <c r="Z24" s="10"/>
      <c r="AO24" s="45" t="s">
        <v>130</v>
      </c>
      <c r="AP24" s="45">
        <v>2017</v>
      </c>
      <c r="AQ24" s="2">
        <f t="shared" si="9"/>
        <v>21</v>
      </c>
      <c r="AR24" s="17">
        <v>23734</v>
      </c>
      <c r="AS24">
        <f t="shared" si="13"/>
        <v>25361.75</v>
      </c>
      <c r="AT24">
        <f t="shared" si="14"/>
        <v>26165.375</v>
      </c>
      <c r="AU24">
        <f t="shared" si="15"/>
        <v>0.90707662320910742</v>
      </c>
      <c r="AV24">
        <f t="shared" si="3"/>
        <v>0.92917728627801888</v>
      </c>
      <c r="AW24">
        <f t="shared" si="4"/>
        <v>25543.026449850771</v>
      </c>
      <c r="AX24">
        <f t="shared" si="5"/>
        <v>31320.362256902758</v>
      </c>
      <c r="AY24">
        <f t="shared" si="6"/>
        <v>29102.169207113391</v>
      </c>
    </row>
    <row r="25" spans="1:51" x14ac:dyDescent="0.2">
      <c r="A25" s="54">
        <f t="shared" si="7"/>
        <v>22</v>
      </c>
      <c r="B25" s="10">
        <v>24745</v>
      </c>
      <c r="D25" s="55">
        <f t="shared" si="10"/>
        <v>27181.5</v>
      </c>
      <c r="E25" s="4">
        <f t="shared" si="11"/>
        <v>2436.5</v>
      </c>
      <c r="F25" s="57">
        <f t="shared" si="12"/>
        <v>497669172.25</v>
      </c>
      <c r="H25" s="55">
        <f t="shared" si="16"/>
        <v>25567.333333333332</v>
      </c>
      <c r="I25" s="4">
        <f t="shared" si="17"/>
        <v>822.33333333333212</v>
      </c>
      <c r="J25" s="57">
        <f t="shared" si="21"/>
        <v>5753601.7777777836</v>
      </c>
      <c r="L25" s="55">
        <f t="shared" si="22"/>
        <v>24454.5</v>
      </c>
      <c r="M25" s="4">
        <f t="shared" si="23"/>
        <v>290.5</v>
      </c>
      <c r="N25" s="57">
        <f t="shared" si="24"/>
        <v>84390.25</v>
      </c>
      <c r="P25" s="55">
        <f t="shared" si="18"/>
        <v>23733.999593501776</v>
      </c>
      <c r="Q25" s="4">
        <f t="shared" si="19"/>
        <v>1011.000406498224</v>
      </c>
      <c r="R25" s="4">
        <f t="shared" si="20"/>
        <v>1022121.8219395742</v>
      </c>
      <c r="T25" s="10"/>
      <c r="V25" s="9">
        <f t="shared" si="2"/>
        <v>21457.863485985992</v>
      </c>
      <c r="W25">
        <f t="shared" si="0"/>
        <v>3287.1365140140078</v>
      </c>
      <c r="X25">
        <f t="shared" si="1"/>
        <v>10805266.461764164</v>
      </c>
      <c r="Z25" s="10"/>
      <c r="AO25" s="45" t="s">
        <v>131</v>
      </c>
      <c r="AP25" s="45">
        <v>2017</v>
      </c>
      <c r="AQ25" s="2">
        <f t="shared" si="9"/>
        <v>22</v>
      </c>
      <c r="AR25" s="17">
        <v>24745</v>
      </c>
      <c r="AS25">
        <f t="shared" si="13"/>
        <v>26969</v>
      </c>
      <c r="AT25">
        <f t="shared" si="14"/>
        <v>28306.125</v>
      </c>
      <c r="AU25">
        <f t="shared" si="15"/>
        <v>0.87419242301798639</v>
      </c>
      <c r="AV25">
        <f t="shared" si="3"/>
        <v>0.91190964756053527</v>
      </c>
      <c r="AW25">
        <f t="shared" si="4"/>
        <v>27135.363756920175</v>
      </c>
      <c r="AX25">
        <f t="shared" si="5"/>
        <v>32611.477310924365</v>
      </c>
      <c r="AY25">
        <f t="shared" si="6"/>
        <v>29738.720781033429</v>
      </c>
    </row>
    <row r="26" spans="1:51" x14ac:dyDescent="0.2">
      <c r="A26" s="54">
        <f t="shared" si="7"/>
        <v>23</v>
      </c>
      <c r="B26" s="10">
        <v>28768</v>
      </c>
      <c r="D26" s="55">
        <f t="shared" si="10"/>
        <v>24239.5</v>
      </c>
      <c r="E26" s="4">
        <f t="shared" si="11"/>
        <v>4528.5</v>
      </c>
      <c r="F26" s="57">
        <f t="shared" si="12"/>
        <v>587553360.25</v>
      </c>
      <c r="H26" s="55">
        <f t="shared" si="16"/>
        <v>26369.333333333332</v>
      </c>
      <c r="I26" s="4">
        <f t="shared" si="17"/>
        <v>2398.6666666666679</v>
      </c>
      <c r="J26" s="57">
        <f t="shared" si="21"/>
        <v>242642929</v>
      </c>
      <c r="L26" s="55">
        <f t="shared" si="22"/>
        <v>25361.75</v>
      </c>
      <c r="M26" s="4">
        <f t="shared" si="23"/>
        <v>3406.25</v>
      </c>
      <c r="N26" s="57">
        <f t="shared" si="24"/>
        <v>11602539.0625</v>
      </c>
      <c r="P26" s="55">
        <f t="shared" si="18"/>
        <v>24744.99957842808</v>
      </c>
      <c r="Q26" s="4">
        <f t="shared" si="19"/>
        <v>4023.00042157192</v>
      </c>
      <c r="R26" s="4">
        <f t="shared" si="20"/>
        <v>16184532.391967846</v>
      </c>
      <c r="T26" s="10"/>
      <c r="V26" s="9">
        <f t="shared" si="2"/>
        <v>21950.933963088093</v>
      </c>
      <c r="W26">
        <f t="shared" si="0"/>
        <v>6817.0660369119068</v>
      </c>
      <c r="X26">
        <f t="shared" si="1"/>
        <v>46472389.351617813</v>
      </c>
      <c r="Z26" s="10"/>
      <c r="AO26" s="45" t="s">
        <v>132</v>
      </c>
      <c r="AP26" s="45">
        <v>2017</v>
      </c>
      <c r="AQ26" s="2">
        <f t="shared" si="9"/>
        <v>23</v>
      </c>
      <c r="AR26" s="17">
        <v>28768</v>
      </c>
      <c r="AS26">
        <f t="shared" si="13"/>
        <v>29643.25</v>
      </c>
      <c r="AT26">
        <f t="shared" si="14"/>
        <v>30627.125</v>
      </c>
      <c r="AU26">
        <f t="shared" si="15"/>
        <v>0.93929808952031901</v>
      </c>
      <c r="AV26">
        <f t="shared" si="3"/>
        <v>1.0135546225959615</v>
      </c>
      <c r="AW26">
        <f t="shared" si="4"/>
        <v>28383.275413729662</v>
      </c>
      <c r="AX26">
        <f t="shared" si="5"/>
        <v>33902.592364945973</v>
      </c>
      <c r="AY26">
        <f t="shared" si="6"/>
        <v>34362.129209477542</v>
      </c>
    </row>
    <row r="27" spans="1:51" x14ac:dyDescent="0.2">
      <c r="A27" s="54">
        <f t="shared" si="7"/>
        <v>24</v>
      </c>
      <c r="B27" s="10">
        <f>118573-SUM(B24:B26)</f>
        <v>41326</v>
      </c>
      <c r="D27" s="55">
        <f t="shared" si="10"/>
        <v>26756.5</v>
      </c>
      <c r="E27" s="4">
        <f t="shared" si="11"/>
        <v>14569.5</v>
      </c>
      <c r="F27" s="57">
        <f t="shared" si="12"/>
        <v>715910292.25</v>
      </c>
      <c r="H27" s="55">
        <f t="shared" si="16"/>
        <v>25749</v>
      </c>
      <c r="I27" s="4">
        <f t="shared" si="17"/>
        <v>15577</v>
      </c>
      <c r="J27" s="57">
        <f t="shared" si="21"/>
        <v>64</v>
      </c>
      <c r="L27" s="55">
        <f t="shared" si="22"/>
        <v>26969</v>
      </c>
      <c r="M27" s="4">
        <f t="shared" si="23"/>
        <v>14357</v>
      </c>
      <c r="N27" s="57">
        <f t="shared" si="24"/>
        <v>206123449</v>
      </c>
      <c r="P27" s="55">
        <f t="shared" si="18"/>
        <v>28767.99949492457</v>
      </c>
      <c r="Q27" s="4">
        <f t="shared" si="19"/>
        <v>12558.00050507543</v>
      </c>
      <c r="R27" s="4">
        <f t="shared" si="20"/>
        <v>157703376.68547475</v>
      </c>
      <c r="T27" s="10"/>
      <c r="V27" s="9">
        <f t="shared" si="2"/>
        <v>22973.493868624879</v>
      </c>
      <c r="W27">
        <f t="shared" si="0"/>
        <v>18352.506131375121</v>
      </c>
      <c r="X27">
        <f t="shared" si="1"/>
        <v>336814481.3021614</v>
      </c>
      <c r="Z27" s="10"/>
      <c r="AO27" s="45" t="s">
        <v>133</v>
      </c>
      <c r="AP27" s="45">
        <v>2017</v>
      </c>
      <c r="AQ27" s="2">
        <f t="shared" si="9"/>
        <v>24</v>
      </c>
      <c r="AR27" s="17">
        <f>118573-SUM(AR24:AR26)</f>
        <v>41326</v>
      </c>
      <c r="AS27">
        <f t="shared" si="13"/>
        <v>31611</v>
      </c>
      <c r="AT27">
        <f t="shared" si="14"/>
        <v>32500.875</v>
      </c>
      <c r="AU27">
        <f t="shared" si="15"/>
        <v>1.2715349971346925</v>
      </c>
      <c r="AV27">
        <f t="shared" si="3"/>
        <v>1.2253380598827457</v>
      </c>
      <c r="AW27">
        <f t="shared" si="4"/>
        <v>33726.202876579664</v>
      </c>
      <c r="AX27">
        <f t="shared" si="5"/>
        <v>35193.707418967584</v>
      </c>
      <c r="AY27">
        <f t="shared" si="6"/>
        <v>43124.189168838733</v>
      </c>
    </row>
    <row r="28" spans="1:51" x14ac:dyDescent="0.2">
      <c r="A28" s="54">
        <f t="shared" si="7"/>
        <v>25</v>
      </c>
      <c r="B28" s="10">
        <v>31605</v>
      </c>
      <c r="D28" s="55">
        <f t="shared" si="10"/>
        <v>35047</v>
      </c>
      <c r="E28" s="4">
        <f t="shared" si="11"/>
        <v>3442</v>
      </c>
      <c r="F28" s="57">
        <f t="shared" si="12"/>
        <v>793154569</v>
      </c>
      <c r="H28" s="55">
        <f t="shared" si="16"/>
        <v>31613</v>
      </c>
      <c r="I28" s="4">
        <f t="shared" si="17"/>
        <v>8</v>
      </c>
      <c r="J28" s="57">
        <f t="shared" si="21"/>
        <v>4143938.7777777677</v>
      </c>
      <c r="L28" s="55">
        <f t="shared" si="22"/>
        <v>29643.25</v>
      </c>
      <c r="M28" s="4">
        <f t="shared" si="23"/>
        <v>1961.75</v>
      </c>
      <c r="N28" s="57">
        <f t="shared" si="24"/>
        <v>3848463.0625</v>
      </c>
      <c r="P28" s="55">
        <f t="shared" si="18"/>
        <v>41325.999259471333</v>
      </c>
      <c r="Q28" s="4">
        <f t="shared" si="19"/>
        <v>9720.9992594713331</v>
      </c>
      <c r="R28" s="4">
        <f t="shared" si="20"/>
        <v>94497826.602642208</v>
      </c>
      <c r="T28" s="10"/>
      <c r="V28" s="9">
        <f t="shared" si="2"/>
        <v>25726.369788331147</v>
      </c>
      <c r="W28">
        <f t="shared" si="0"/>
        <v>5878.630211668853</v>
      </c>
      <c r="X28">
        <f t="shared" si="1"/>
        <v>34558293.165545784</v>
      </c>
      <c r="Z28" s="10"/>
      <c r="AO28" s="45" t="s">
        <v>130</v>
      </c>
      <c r="AP28" s="45">
        <v>2018</v>
      </c>
      <c r="AQ28" s="2">
        <f t="shared" si="9"/>
        <v>25</v>
      </c>
      <c r="AR28" s="17">
        <v>31605</v>
      </c>
      <c r="AS28">
        <f t="shared" si="13"/>
        <v>33390.75</v>
      </c>
      <c r="AT28">
        <f t="shared" si="14"/>
        <v>34013</v>
      </c>
      <c r="AU28">
        <f t="shared" si="15"/>
        <v>0.92920353982300885</v>
      </c>
      <c r="AV28">
        <f t="shared" si="3"/>
        <v>0.92917728627801888</v>
      </c>
      <c r="AW28">
        <f t="shared" si="4"/>
        <v>34013.961024165066</v>
      </c>
      <c r="AX28">
        <f t="shared" si="5"/>
        <v>36484.822472989195</v>
      </c>
      <c r="AY28">
        <f t="shared" si="6"/>
        <v>33900.868335787382</v>
      </c>
    </row>
    <row r="29" spans="1:51" x14ac:dyDescent="0.2">
      <c r="A29" s="54">
        <f t="shared" si="7"/>
        <v>26</v>
      </c>
      <c r="B29" s="10">
        <v>31864</v>
      </c>
      <c r="D29" s="55">
        <f t="shared" si="10"/>
        <v>36465.5</v>
      </c>
      <c r="E29" s="4">
        <f t="shared" si="11"/>
        <v>4601.5</v>
      </c>
      <c r="F29" s="57">
        <f t="shared" si="12"/>
        <v>743243906.25</v>
      </c>
      <c r="H29" s="55">
        <f t="shared" si="16"/>
        <v>33899.666666666664</v>
      </c>
      <c r="I29" s="4">
        <f t="shared" si="17"/>
        <v>2035.6666666666642</v>
      </c>
      <c r="J29" s="57">
        <f t="shared" si="21"/>
        <v>1405805.4444444387</v>
      </c>
      <c r="L29" s="55">
        <f t="shared" si="22"/>
        <v>31611</v>
      </c>
      <c r="M29" s="4">
        <f t="shared" si="23"/>
        <v>253</v>
      </c>
      <c r="N29" s="57">
        <f t="shared" si="24"/>
        <v>64009</v>
      </c>
      <c r="P29" s="55">
        <f t="shared" si="18"/>
        <v>31604.999458003578</v>
      </c>
      <c r="Q29" s="4">
        <f t="shared" si="19"/>
        <v>259.00054199642182</v>
      </c>
      <c r="R29" s="4">
        <f t="shared" si="20"/>
        <v>67081.28075444026</v>
      </c>
      <c r="T29" s="10"/>
      <c r="V29" s="9">
        <f t="shared" si="2"/>
        <v>26608.164320081476</v>
      </c>
      <c r="W29">
        <f t="shared" si="0"/>
        <v>5255.835679918524</v>
      </c>
      <c r="X29">
        <f t="shared" si="1"/>
        <v>27623808.694304612</v>
      </c>
      <c r="Z29" s="10"/>
      <c r="AO29" s="45" t="s">
        <v>131</v>
      </c>
      <c r="AP29" s="45">
        <v>2018</v>
      </c>
      <c r="AQ29" s="2">
        <f t="shared" si="9"/>
        <v>26</v>
      </c>
      <c r="AR29" s="17">
        <v>31864</v>
      </c>
      <c r="AS29">
        <f t="shared" si="13"/>
        <v>34635.25</v>
      </c>
      <c r="AT29">
        <f t="shared" si="14"/>
        <v>35057</v>
      </c>
      <c r="AU29">
        <f t="shared" si="15"/>
        <v>0.90891975924922275</v>
      </c>
      <c r="AV29">
        <f t="shared" si="3"/>
        <v>0.91190964756053527</v>
      </c>
      <c r="AW29">
        <f t="shared" si="4"/>
        <v>34942.058223904001</v>
      </c>
      <c r="AX29">
        <f t="shared" si="5"/>
        <v>37775.937527010799</v>
      </c>
      <c r="AY29">
        <f t="shared" si="6"/>
        <v>34448.241876525215</v>
      </c>
    </row>
    <row r="30" spans="1:51" x14ac:dyDescent="0.2">
      <c r="A30" s="54">
        <f t="shared" si="7"/>
        <v>27</v>
      </c>
      <c r="B30" s="10">
        <v>33746</v>
      </c>
      <c r="D30" s="55">
        <f t="shared" si="10"/>
        <v>31734.5</v>
      </c>
      <c r="E30" s="4">
        <f t="shared" si="11"/>
        <v>2011.5</v>
      </c>
      <c r="F30" s="57">
        <f t="shared" si="12"/>
        <v>1007078490.25</v>
      </c>
      <c r="H30" s="55">
        <f t="shared" si="16"/>
        <v>34931.666666666664</v>
      </c>
      <c r="I30" s="4">
        <f t="shared" si="17"/>
        <v>1185.6666666666642</v>
      </c>
      <c r="J30" s="57">
        <f t="shared" si="21"/>
        <v>151167025</v>
      </c>
      <c r="L30" s="55">
        <f t="shared" si="22"/>
        <v>33390.75</v>
      </c>
      <c r="M30" s="4">
        <f t="shared" si="23"/>
        <v>355.25</v>
      </c>
      <c r="N30" s="57">
        <f t="shared" si="24"/>
        <v>126202.5625</v>
      </c>
      <c r="P30" s="55">
        <f t="shared" si="18"/>
        <v>31863.9994599356</v>
      </c>
      <c r="Q30" s="4">
        <f t="shared" si="19"/>
        <v>1882.0005400644004</v>
      </c>
      <c r="R30" s="4">
        <f t="shared" si="20"/>
        <v>3541926.0328026949</v>
      </c>
      <c r="T30" s="10"/>
      <c r="V30" s="9">
        <f t="shared" si="2"/>
        <v>27396.539672069252</v>
      </c>
      <c r="W30">
        <f t="shared" si="0"/>
        <v>6349.4603279307485</v>
      </c>
      <c r="X30">
        <f t="shared" si="1"/>
        <v>40315646.45596645</v>
      </c>
      <c r="Z30" s="10"/>
      <c r="AO30" s="45" t="s">
        <v>132</v>
      </c>
      <c r="AP30" s="45">
        <v>2018</v>
      </c>
      <c r="AQ30" s="2">
        <f t="shared" si="9"/>
        <v>27</v>
      </c>
      <c r="AR30" s="17">
        <v>33746</v>
      </c>
      <c r="AS30">
        <f t="shared" si="13"/>
        <v>35478.75</v>
      </c>
      <c r="AT30">
        <f t="shared" si="14"/>
        <v>35813.5</v>
      </c>
      <c r="AU30">
        <f t="shared" si="15"/>
        <v>0.94227037290407245</v>
      </c>
      <c r="AV30">
        <f t="shared" si="3"/>
        <v>1.0135546225959615</v>
      </c>
      <c r="AW30">
        <f t="shared" si="4"/>
        <v>33294.702868177184</v>
      </c>
      <c r="AX30">
        <f t="shared" si="5"/>
        <v>39067.052581032411</v>
      </c>
      <c r="AY30">
        <f t="shared" si="6"/>
        <v>39596.591734704889</v>
      </c>
    </row>
    <row r="31" spans="1:51" x14ac:dyDescent="0.2">
      <c r="A31" s="54">
        <f t="shared" si="7"/>
        <v>28</v>
      </c>
      <c r="B31" s="10">
        <f>141915-SUM(B28:B30)</f>
        <v>44700</v>
      </c>
      <c r="D31" s="55">
        <f t="shared" si="10"/>
        <v>32805</v>
      </c>
      <c r="E31" s="4">
        <f t="shared" si="11"/>
        <v>11895</v>
      </c>
      <c r="F31" s="57">
        <f t="shared" si="12"/>
        <v>1076168025</v>
      </c>
      <c r="H31" s="55">
        <f t="shared" si="16"/>
        <v>32405</v>
      </c>
      <c r="I31" s="4">
        <f t="shared" si="17"/>
        <v>12295</v>
      </c>
      <c r="J31" s="57">
        <f t="shared" si="21"/>
        <v>6185169</v>
      </c>
      <c r="L31" s="55">
        <f t="shared" si="22"/>
        <v>34635.25</v>
      </c>
      <c r="M31" s="4">
        <f t="shared" si="23"/>
        <v>10064.75</v>
      </c>
      <c r="N31" s="57">
        <f t="shared" si="24"/>
        <v>101299192.5625</v>
      </c>
      <c r="P31" s="55">
        <f t="shared" si="18"/>
        <v>33745.999413631165</v>
      </c>
      <c r="Q31" s="4">
        <f t="shared" si="19"/>
        <v>10954.000586368835</v>
      </c>
      <c r="R31" s="4">
        <f t="shared" si="20"/>
        <v>119990128.84616877</v>
      </c>
      <c r="T31" s="10"/>
      <c r="V31" s="9">
        <f t="shared" si="2"/>
        <v>28348.958721258859</v>
      </c>
      <c r="W31">
        <f t="shared" si="0"/>
        <v>16351.041278741141</v>
      </c>
      <c r="X31">
        <f t="shared" si="1"/>
        <v>267356550.89909673</v>
      </c>
      <c r="Z31" s="10"/>
      <c r="AO31" s="45" t="s">
        <v>133</v>
      </c>
      <c r="AP31" s="45">
        <v>2018</v>
      </c>
      <c r="AQ31" s="2">
        <f t="shared" si="9"/>
        <v>28</v>
      </c>
      <c r="AR31" s="17">
        <f>141915-SUM(AR28:AR30)</f>
        <v>44700</v>
      </c>
      <c r="AS31">
        <f t="shared" si="13"/>
        <v>36148.25</v>
      </c>
      <c r="AT31">
        <f t="shared" si="14"/>
        <v>36647.25</v>
      </c>
      <c r="AU31">
        <f t="shared" si="15"/>
        <v>1.219736815177128</v>
      </c>
      <c r="AV31">
        <f t="shared" si="3"/>
        <v>1.2253380598827457</v>
      </c>
      <c r="AW31">
        <f t="shared" si="4"/>
        <v>36479.728707910537</v>
      </c>
      <c r="AX31">
        <f t="shared" si="5"/>
        <v>40358.167635054015</v>
      </c>
      <c r="AY31">
        <f t="shared" si="6"/>
        <v>49452.398830359707</v>
      </c>
    </row>
    <row r="32" spans="1:51" x14ac:dyDescent="0.2">
      <c r="A32" s="54">
        <f t="shared" si="7"/>
        <v>29</v>
      </c>
      <c r="B32" s="10">
        <v>34283</v>
      </c>
      <c r="D32" s="55">
        <f t="shared" si="10"/>
        <v>39223</v>
      </c>
      <c r="E32" s="4">
        <f t="shared" si="11"/>
        <v>4940</v>
      </c>
      <c r="F32" s="57">
        <f t="shared" si="12"/>
        <v>861011649</v>
      </c>
      <c r="H32" s="55">
        <f t="shared" si="16"/>
        <v>36770</v>
      </c>
      <c r="I32" s="4">
        <f t="shared" si="17"/>
        <v>2487</v>
      </c>
      <c r="J32" s="57">
        <f t="shared" si="21"/>
        <v>2959546.7777777859</v>
      </c>
      <c r="L32" s="55">
        <f t="shared" si="22"/>
        <v>35478.75</v>
      </c>
      <c r="M32" s="4">
        <f t="shared" si="23"/>
        <v>1195.75</v>
      </c>
      <c r="N32" s="57">
        <f t="shared" si="24"/>
        <v>1429818.0625</v>
      </c>
      <c r="P32" s="55">
        <f t="shared" si="18"/>
        <v>44699.999206427172</v>
      </c>
      <c r="Q32" s="4">
        <f t="shared" si="19"/>
        <v>10416.999206427172</v>
      </c>
      <c r="R32" s="4">
        <f t="shared" si="20"/>
        <v>108513872.46670432</v>
      </c>
      <c r="T32" s="10"/>
      <c r="V32" s="9">
        <f t="shared" si="2"/>
        <v>30801.614913070029</v>
      </c>
      <c r="W32">
        <f t="shared" si="0"/>
        <v>3481.3850869299713</v>
      </c>
      <c r="X32">
        <f t="shared" si="1"/>
        <v>12120042.123498404</v>
      </c>
      <c r="Z32" s="10"/>
      <c r="AO32" s="45" t="s">
        <v>130</v>
      </c>
      <c r="AP32" s="45">
        <v>2019</v>
      </c>
      <c r="AQ32" s="2">
        <f t="shared" si="9"/>
        <v>29</v>
      </c>
      <c r="AR32" s="17">
        <v>34283</v>
      </c>
      <c r="AS32">
        <f t="shared" si="13"/>
        <v>37146.25</v>
      </c>
      <c r="AT32">
        <f t="shared" si="14"/>
        <v>37893.75</v>
      </c>
      <c r="AU32">
        <f t="shared" si="15"/>
        <v>0.90471383803397654</v>
      </c>
      <c r="AV32">
        <f t="shared" si="3"/>
        <v>0.92917728627801888</v>
      </c>
      <c r="AW32">
        <f t="shared" si="4"/>
        <v>36896.080550275306</v>
      </c>
      <c r="AX32">
        <f t="shared" si="5"/>
        <v>41649.282689075626</v>
      </c>
      <c r="AY32">
        <f t="shared" si="6"/>
        <v>38699.567464461361</v>
      </c>
    </row>
    <row r="33" spans="1:51" x14ac:dyDescent="0.2">
      <c r="A33" s="54">
        <f t="shared" si="7"/>
        <v>30</v>
      </c>
      <c r="B33" s="10">
        <v>35856</v>
      </c>
      <c r="D33" s="55">
        <f t="shared" si="10"/>
        <v>39491.5</v>
      </c>
      <c r="E33" s="4">
        <f t="shared" si="11"/>
        <v>3635.5</v>
      </c>
      <c r="F33" s="57">
        <f t="shared" si="12"/>
        <v>1038160620.25</v>
      </c>
      <c r="H33" s="55">
        <f t="shared" si="16"/>
        <v>37576.333333333336</v>
      </c>
      <c r="I33" s="4">
        <f t="shared" si="17"/>
        <v>1720.3333333333358</v>
      </c>
      <c r="J33" s="57">
        <f t="shared" si="21"/>
        <v>2091880.1111111182</v>
      </c>
      <c r="L33" s="55">
        <f t="shared" si="22"/>
        <v>36148.25</v>
      </c>
      <c r="M33" s="4">
        <f t="shared" si="23"/>
        <v>292.25</v>
      </c>
      <c r="N33" s="57">
        <f t="shared" si="24"/>
        <v>85410.0625</v>
      </c>
      <c r="P33" s="55">
        <f t="shared" si="18"/>
        <v>34282.999414761514</v>
      </c>
      <c r="Q33" s="4">
        <f t="shared" si="19"/>
        <v>1573.0005852384857</v>
      </c>
      <c r="R33" s="4">
        <f t="shared" si="20"/>
        <v>2474330.8411606182</v>
      </c>
      <c r="T33" s="10"/>
      <c r="V33" s="9">
        <f t="shared" si="2"/>
        <v>31323.822676109525</v>
      </c>
      <c r="W33">
        <f t="shared" si="0"/>
        <v>4532.1773238904752</v>
      </c>
      <c r="X33">
        <f t="shared" si="1"/>
        <v>20540631.29518703</v>
      </c>
      <c r="Z33" s="10"/>
      <c r="AO33" s="45" t="s">
        <v>131</v>
      </c>
      <c r="AP33" s="45">
        <v>2019</v>
      </c>
      <c r="AQ33" s="2">
        <f t="shared" si="9"/>
        <v>30</v>
      </c>
      <c r="AR33" s="17">
        <v>35856</v>
      </c>
      <c r="AS33">
        <f t="shared" si="13"/>
        <v>38641.25</v>
      </c>
      <c r="AT33">
        <f t="shared" si="14"/>
        <v>39371.625</v>
      </c>
      <c r="AU33">
        <f t="shared" si="15"/>
        <v>0.91070663199702828</v>
      </c>
      <c r="AV33">
        <f t="shared" si="3"/>
        <v>0.91190964756053527</v>
      </c>
      <c r="AW33">
        <f t="shared" si="4"/>
        <v>39319.684900712462</v>
      </c>
      <c r="AX33">
        <f t="shared" si="5"/>
        <v>42940.397743097237</v>
      </c>
      <c r="AY33">
        <f t="shared" si="6"/>
        <v>39157.762972017008</v>
      </c>
    </row>
    <row r="34" spans="1:51" x14ac:dyDescent="0.2">
      <c r="A34" s="54">
        <f t="shared" si="7"/>
        <v>31</v>
      </c>
      <c r="B34" s="10">
        <v>39726</v>
      </c>
      <c r="D34" s="55">
        <f t="shared" si="10"/>
        <v>35069.5</v>
      </c>
      <c r="E34" s="4">
        <f t="shared" si="11"/>
        <v>4656.5</v>
      </c>
      <c r="F34" s="57">
        <f t="shared" si="12"/>
        <v>1229869830.25</v>
      </c>
      <c r="H34" s="55">
        <f t="shared" si="16"/>
        <v>38279.666666666664</v>
      </c>
      <c r="I34" s="4">
        <f t="shared" si="17"/>
        <v>1446.3333333333358</v>
      </c>
      <c r="J34" s="57">
        <f t="shared" si="21"/>
        <v>193803521.77777785</v>
      </c>
      <c r="L34" s="55">
        <f t="shared" si="22"/>
        <v>37146.25</v>
      </c>
      <c r="M34" s="4">
        <f t="shared" si="23"/>
        <v>2579.75</v>
      </c>
      <c r="N34" s="57">
        <f t="shared" si="24"/>
        <v>6655110.0625</v>
      </c>
      <c r="P34" s="55">
        <f t="shared" si="18"/>
        <v>35855.999389404926</v>
      </c>
      <c r="Q34" s="4">
        <f t="shared" si="19"/>
        <v>3870.0006105950742</v>
      </c>
      <c r="R34" s="4">
        <f t="shared" si="20"/>
        <v>14976904.726006247</v>
      </c>
      <c r="T34" s="10"/>
      <c r="V34" s="9">
        <f t="shared" si="2"/>
        <v>32003.649274693096</v>
      </c>
      <c r="W34">
        <f t="shared" si="0"/>
        <v>7722.3507253069038</v>
      </c>
      <c r="X34">
        <f t="shared" si="1"/>
        <v>59634700.724648066</v>
      </c>
      <c r="Z34" s="10"/>
      <c r="AO34" s="45" t="s">
        <v>132</v>
      </c>
      <c r="AP34" s="45">
        <v>2019</v>
      </c>
      <c r="AQ34" s="2">
        <f t="shared" si="9"/>
        <v>31</v>
      </c>
      <c r="AR34" s="17">
        <v>39726</v>
      </c>
      <c r="AS34">
        <f t="shared" si="13"/>
        <v>40102</v>
      </c>
      <c r="AT34">
        <f t="shared" si="14"/>
        <v>41046.75</v>
      </c>
      <c r="AU34">
        <f t="shared" si="15"/>
        <v>0.9678232746806994</v>
      </c>
      <c r="AV34">
        <f t="shared" si="3"/>
        <v>1.0135546225959615</v>
      </c>
      <c r="AW34">
        <f t="shared" si="4"/>
        <v>39194.73022406231</v>
      </c>
      <c r="AX34">
        <f t="shared" si="5"/>
        <v>44231.512797118841</v>
      </c>
      <c r="AY34">
        <f t="shared" si="6"/>
        <v>44831.054259932229</v>
      </c>
    </row>
    <row r="35" spans="1:51" x14ac:dyDescent="0.2">
      <c r="A35" s="54">
        <f t="shared" si="7"/>
        <v>32</v>
      </c>
      <c r="B35" s="10">
        <f>160408-SUM(B32:B34)</f>
        <v>50543</v>
      </c>
      <c r="D35" s="55">
        <f t="shared" si="10"/>
        <v>37791</v>
      </c>
      <c r="E35" s="4">
        <f t="shared" si="11"/>
        <v>12752</v>
      </c>
      <c r="F35" s="57">
        <f t="shared" si="12"/>
        <v>1428159681</v>
      </c>
      <c r="H35" s="55">
        <f t="shared" si="16"/>
        <v>36621.666666666664</v>
      </c>
      <c r="I35" s="4">
        <f t="shared" si="17"/>
        <v>13921.333333333336</v>
      </c>
      <c r="J35" s="57">
        <f t="shared" si="21"/>
        <v>40267.111111110135</v>
      </c>
      <c r="L35" s="55">
        <f t="shared" si="22"/>
        <v>38641.25</v>
      </c>
      <c r="M35" s="4">
        <f t="shared" si="23"/>
        <v>11901.75</v>
      </c>
      <c r="N35" s="57">
        <f t="shared" si="24"/>
        <v>141651653.0625</v>
      </c>
      <c r="P35" s="55">
        <f t="shared" si="18"/>
        <v>39725.999305368889</v>
      </c>
      <c r="Q35" s="4">
        <f t="shared" si="19"/>
        <v>10817.000694631111</v>
      </c>
      <c r="R35" s="4">
        <f t="shared" si="20"/>
        <v>117007504.02764995</v>
      </c>
      <c r="T35" s="10"/>
      <c r="V35" s="9">
        <f t="shared" si="2"/>
        <v>33162.001883489131</v>
      </c>
      <c r="W35">
        <f t="shared" si="0"/>
        <v>17380.998116510869</v>
      </c>
      <c r="X35">
        <f t="shared" si="1"/>
        <v>302099095.5261544</v>
      </c>
      <c r="Z35" s="10"/>
      <c r="AO35" s="45" t="s">
        <v>133</v>
      </c>
      <c r="AP35" s="45">
        <v>2019</v>
      </c>
      <c r="AQ35" s="2">
        <f t="shared" si="9"/>
        <v>32</v>
      </c>
      <c r="AR35" s="17">
        <f>160408-SUM(AR32:AR34)</f>
        <v>50543</v>
      </c>
      <c r="AS35">
        <f t="shared" si="13"/>
        <v>41991.5</v>
      </c>
      <c r="AT35">
        <f t="shared" si="14"/>
        <v>43790</v>
      </c>
      <c r="AU35">
        <f t="shared" si="15"/>
        <v>1.1542132907056406</v>
      </c>
      <c r="AV35">
        <f t="shared" si="3"/>
        <v>1.2253380598827457</v>
      </c>
      <c r="AW35">
        <f t="shared" si="4"/>
        <v>41248.208681966942</v>
      </c>
      <c r="AX35">
        <f t="shared" si="5"/>
        <v>45522.627851140453</v>
      </c>
      <c r="AY35">
        <f t="shared" si="6"/>
        <v>55780.608491880688</v>
      </c>
    </row>
    <row r="36" spans="1:51" x14ac:dyDescent="0.2">
      <c r="A36" s="54">
        <f t="shared" si="7"/>
        <v>33</v>
      </c>
      <c r="B36" s="10">
        <v>41841</v>
      </c>
      <c r="D36" s="55">
        <f t="shared" si="10"/>
        <v>45134.5</v>
      </c>
      <c r="E36" s="4">
        <f t="shared" si="11"/>
        <v>3293.5</v>
      </c>
      <c r="F36" s="57">
        <f t="shared" si="12"/>
        <v>1485909756.25</v>
      </c>
      <c r="H36" s="55">
        <f t="shared" si="16"/>
        <v>42041.666666666664</v>
      </c>
      <c r="I36" s="4">
        <f t="shared" si="17"/>
        <v>200.66666666666424</v>
      </c>
      <c r="J36" s="57">
        <f t="shared" si="21"/>
        <v>38530987.111111142</v>
      </c>
      <c r="L36" s="55">
        <f t="shared" si="22"/>
        <v>40102</v>
      </c>
      <c r="M36" s="4">
        <f t="shared" si="23"/>
        <v>1739</v>
      </c>
      <c r="N36" s="57">
        <f t="shared" si="24"/>
        <v>3024121</v>
      </c>
      <c r="P36" s="55">
        <f t="shared" si="18"/>
        <v>50542.999103609283</v>
      </c>
      <c r="Q36" s="4">
        <f t="shared" si="19"/>
        <v>8701.9991036092833</v>
      </c>
      <c r="R36" s="4">
        <f t="shared" si="20"/>
        <v>75724788.399216771</v>
      </c>
      <c r="T36" s="10"/>
      <c r="V36" s="9">
        <f t="shared" si="2"/>
        <v>35769.151600965757</v>
      </c>
      <c r="W36">
        <f t="shared" si="0"/>
        <v>6071.8483990342429</v>
      </c>
      <c r="X36">
        <f t="shared" si="1"/>
        <v>36867342.980854698</v>
      </c>
      <c r="Z36" s="10"/>
      <c r="AO36" s="45" t="s">
        <v>130</v>
      </c>
      <c r="AP36" s="45">
        <v>2020</v>
      </c>
      <c r="AQ36" s="2">
        <f t="shared" si="9"/>
        <v>33</v>
      </c>
      <c r="AR36" s="17">
        <v>41841</v>
      </c>
      <c r="AS36">
        <f t="shared" si="13"/>
        <v>45588.5</v>
      </c>
      <c r="AT36">
        <f t="shared" si="14"/>
        <v>47219.5</v>
      </c>
      <c r="AU36">
        <f t="shared" si="15"/>
        <v>0.88609578669829203</v>
      </c>
      <c r="AV36">
        <f t="shared" si="3"/>
        <v>0.92917728627801888</v>
      </c>
      <c r="AW36">
        <f t="shared" si="4"/>
        <v>45030.157988042731</v>
      </c>
      <c r="AX36">
        <f t="shared" si="5"/>
        <v>46813.742905162064</v>
      </c>
      <c r="AY36">
        <f t="shared" si="6"/>
        <v>43498.266593135348</v>
      </c>
    </row>
    <row r="37" spans="1:51" x14ac:dyDescent="0.2">
      <c r="A37" s="54">
        <f t="shared" si="7"/>
        <v>34</v>
      </c>
      <c r="B37" s="10">
        <v>50244</v>
      </c>
      <c r="D37" s="55">
        <f t="shared" si="10"/>
        <v>46192</v>
      </c>
      <c r="E37" s="4">
        <f t="shared" si="11"/>
        <v>4052</v>
      </c>
      <c r="F37" s="57">
        <f t="shared" si="12"/>
        <v>2133700864</v>
      </c>
      <c r="H37" s="55">
        <f t="shared" si="16"/>
        <v>44036.666666666664</v>
      </c>
      <c r="I37" s="4">
        <f t="shared" si="17"/>
        <v>6207.3333333333358</v>
      </c>
      <c r="J37" s="57">
        <f t="shared" si="21"/>
        <v>27366848.44444447</v>
      </c>
      <c r="L37" s="55">
        <f t="shared" si="22"/>
        <v>41991.5</v>
      </c>
      <c r="M37" s="4">
        <f t="shared" si="23"/>
        <v>8252.5</v>
      </c>
      <c r="N37" s="57">
        <f t="shared" si="24"/>
        <v>68103756.25</v>
      </c>
      <c r="P37" s="55">
        <f t="shared" si="18"/>
        <v>41840.999281325072</v>
      </c>
      <c r="Q37" s="4">
        <f t="shared" si="19"/>
        <v>8403.0007186749281</v>
      </c>
      <c r="R37" s="4">
        <f t="shared" si="20"/>
        <v>70610421.078051358</v>
      </c>
      <c r="T37" s="10"/>
      <c r="V37" s="9">
        <f t="shared" si="2"/>
        <v>36679.928860820895</v>
      </c>
      <c r="W37">
        <f t="shared" si="0"/>
        <v>13564.071139179105</v>
      </c>
      <c r="X37">
        <f t="shared" si="1"/>
        <v>183984025.86871153</v>
      </c>
      <c r="Z37" s="10"/>
      <c r="AO37" s="45" t="s">
        <v>131</v>
      </c>
      <c r="AP37" s="45">
        <v>2020</v>
      </c>
      <c r="AQ37" s="2">
        <f t="shared" si="9"/>
        <v>34</v>
      </c>
      <c r="AR37" s="17">
        <v>50244</v>
      </c>
      <c r="AS37">
        <f t="shared" si="13"/>
        <v>48850.5</v>
      </c>
      <c r="AT37">
        <f t="shared" si="14"/>
        <v>51414.625</v>
      </c>
      <c r="AU37">
        <f t="shared" si="15"/>
        <v>0.97723167289462876</v>
      </c>
      <c r="AV37">
        <f t="shared" si="3"/>
        <v>0.91190964756053527</v>
      </c>
      <c r="AW37">
        <f t="shared" si="4"/>
        <v>55097.563815021109</v>
      </c>
      <c r="AX37">
        <f t="shared" si="5"/>
        <v>48104.857959183668</v>
      </c>
      <c r="AY37">
        <f t="shared" si="6"/>
        <v>43867.284067508786</v>
      </c>
    </row>
    <row r="38" spans="1:51" x14ac:dyDescent="0.2">
      <c r="A38" s="54">
        <f t="shared" si="7"/>
        <v>35</v>
      </c>
      <c r="B38" s="10">
        <v>52774</v>
      </c>
      <c r="D38" s="55">
        <f t="shared" si="10"/>
        <v>46042.5</v>
      </c>
      <c r="E38" s="4">
        <f t="shared" si="11"/>
        <v>6731.5</v>
      </c>
      <c r="F38" s="57">
        <f t="shared" si="12"/>
        <v>2119911806.25</v>
      </c>
      <c r="H38" s="55">
        <f t="shared" si="16"/>
        <v>47542.666666666664</v>
      </c>
      <c r="I38" s="4">
        <f t="shared" si="17"/>
        <v>5231.3333333333358</v>
      </c>
      <c r="J38" s="57">
        <f t="shared" si="21"/>
        <v>518457720.11111099</v>
      </c>
      <c r="L38" s="55">
        <f t="shared" si="22"/>
        <v>45588.5</v>
      </c>
      <c r="M38" s="4">
        <f t="shared" si="23"/>
        <v>7185.5</v>
      </c>
      <c r="N38" s="57">
        <f t="shared" si="24"/>
        <v>51631410.25</v>
      </c>
      <c r="P38" s="55">
        <f t="shared" si="18"/>
        <v>50243.999126828508</v>
      </c>
      <c r="Q38" s="4">
        <f t="shared" si="19"/>
        <v>2530.0008731714915</v>
      </c>
      <c r="R38" s="4">
        <f t="shared" si="20"/>
        <v>6400904.41824851</v>
      </c>
      <c r="T38" s="10"/>
      <c r="V38" s="9">
        <f t="shared" si="2"/>
        <v>38714.539531697759</v>
      </c>
      <c r="W38">
        <f t="shared" si="0"/>
        <v>14059.460468302241</v>
      </c>
      <c r="X38">
        <f t="shared" si="1"/>
        <v>197668428.65975347</v>
      </c>
      <c r="Z38" s="10"/>
      <c r="AO38" s="45" t="s">
        <v>132</v>
      </c>
      <c r="AP38" s="45">
        <v>2020</v>
      </c>
      <c r="AQ38" s="2">
        <f t="shared" si="9"/>
        <v>35</v>
      </c>
      <c r="AR38" s="17">
        <v>52774</v>
      </c>
      <c r="AS38">
        <f t="shared" si="13"/>
        <v>53978.75</v>
      </c>
      <c r="AT38">
        <f t="shared" si="14"/>
        <v>55935</v>
      </c>
      <c r="AU38">
        <f t="shared" si="15"/>
        <v>0.94348797711629573</v>
      </c>
      <c r="AV38">
        <f t="shared" si="3"/>
        <v>1.0135546225959615</v>
      </c>
      <c r="AW38">
        <f t="shared" si="4"/>
        <v>52068.234729010328</v>
      </c>
      <c r="AX38">
        <f t="shared" si="5"/>
        <v>49395.973013205279</v>
      </c>
      <c r="AY38">
        <f t="shared" si="6"/>
        <v>50065.516785159576</v>
      </c>
    </row>
    <row r="39" spans="1:51" x14ac:dyDescent="0.2">
      <c r="A39" s="54">
        <f t="shared" si="7"/>
        <v>36</v>
      </c>
      <c r="B39" s="10">
        <f>215915-SUM(B36:B38)</f>
        <v>71056</v>
      </c>
      <c r="D39" s="55">
        <f t="shared" si="10"/>
        <v>51509</v>
      </c>
      <c r="E39" s="4">
        <f t="shared" si="11"/>
        <v>19547</v>
      </c>
      <c r="F39" s="57">
        <f t="shared" si="12"/>
        <v>2653177081</v>
      </c>
      <c r="H39" s="55">
        <f t="shared" si="16"/>
        <v>48286.333333333336</v>
      </c>
      <c r="I39" s="4">
        <f t="shared" si="17"/>
        <v>22769.666666666664</v>
      </c>
      <c r="J39" s="57">
        <f t="shared" si="21"/>
        <v>284800.1111111085</v>
      </c>
      <c r="L39" s="55">
        <f t="shared" si="22"/>
        <v>48850.5</v>
      </c>
      <c r="M39" s="4">
        <f t="shared" si="23"/>
        <v>22205.5</v>
      </c>
      <c r="N39" s="57">
        <f t="shared" si="24"/>
        <v>493084230.25</v>
      </c>
      <c r="P39" s="55">
        <f t="shared" si="18"/>
        <v>52773.999075013024</v>
      </c>
      <c r="Q39" s="4">
        <f t="shared" si="19"/>
        <v>18282.000924986976</v>
      </c>
      <c r="R39" s="4">
        <f t="shared" si="20"/>
        <v>334231557.82122463</v>
      </c>
      <c r="T39" s="10"/>
      <c r="V39" s="9">
        <f t="shared" si="2"/>
        <v>40823.458601943094</v>
      </c>
      <c r="W39">
        <f t="shared" si="0"/>
        <v>30232.541398056906</v>
      </c>
      <c r="X39">
        <f t="shared" si="1"/>
        <v>914006559.3852247</v>
      </c>
      <c r="Z39" s="10"/>
      <c r="AO39" s="45" t="s">
        <v>133</v>
      </c>
      <c r="AP39" s="45">
        <v>2020</v>
      </c>
      <c r="AQ39" s="2">
        <f t="shared" si="9"/>
        <v>36</v>
      </c>
      <c r="AR39" s="17">
        <f>215915-SUM(AR36:AR38)</f>
        <v>71056</v>
      </c>
      <c r="AS39">
        <f t="shared" si="13"/>
        <v>57891.25</v>
      </c>
      <c r="AT39">
        <f t="shared" si="14"/>
        <v>58861.25</v>
      </c>
      <c r="AU39">
        <f t="shared" si="15"/>
        <v>1.2071778971734375</v>
      </c>
      <c r="AV39">
        <f t="shared" si="3"/>
        <v>1.2253380598827457</v>
      </c>
      <c r="AW39">
        <f t="shared" si="4"/>
        <v>57988.894923250366</v>
      </c>
      <c r="AX39">
        <f t="shared" si="5"/>
        <v>50687.08806722689</v>
      </c>
      <c r="AY39">
        <f t="shared" si="6"/>
        <v>62108.818153401669</v>
      </c>
    </row>
    <row r="40" spans="1:51" x14ac:dyDescent="0.2">
      <c r="A40" s="54">
        <f t="shared" si="7"/>
        <v>37</v>
      </c>
      <c r="B40" s="10">
        <v>57491</v>
      </c>
      <c r="D40" s="55">
        <f t="shared" si="10"/>
        <v>61915</v>
      </c>
      <c r="E40" s="4">
        <f t="shared" si="11"/>
        <v>4424</v>
      </c>
      <c r="F40" s="57">
        <f t="shared" si="12"/>
        <v>2816106489</v>
      </c>
      <c r="H40" s="55">
        <f t="shared" si="16"/>
        <v>58024.666666666664</v>
      </c>
      <c r="I40" s="4">
        <f t="shared" si="17"/>
        <v>533.66666666666424</v>
      </c>
      <c r="J40" s="57">
        <f t="shared" si="21"/>
        <v>5935720.1111111231</v>
      </c>
      <c r="L40" s="55">
        <f t="shared" si="22"/>
        <v>53978.75</v>
      </c>
      <c r="M40" s="4">
        <f t="shared" si="23"/>
        <v>3512.25</v>
      </c>
      <c r="N40" s="57">
        <f t="shared" si="24"/>
        <v>12335900.0625</v>
      </c>
      <c r="P40" s="55">
        <f t="shared" si="18"/>
        <v>71055.998737464484</v>
      </c>
      <c r="Q40" s="4">
        <f t="shared" si="19"/>
        <v>13564.998737464484</v>
      </c>
      <c r="R40" s="4">
        <f t="shared" si="20"/>
        <v>184009190.74741304</v>
      </c>
      <c r="T40" s="10"/>
      <c r="V40" s="9">
        <f t="shared" si="2"/>
        <v>45358.339811651633</v>
      </c>
      <c r="W40">
        <f t="shared" si="0"/>
        <v>12132.660188348367</v>
      </c>
      <c r="X40">
        <f t="shared" si="1"/>
        <v>147201443.24593344</v>
      </c>
      <c r="Z40" s="10"/>
      <c r="AO40" s="45" t="s">
        <v>130</v>
      </c>
      <c r="AP40" s="45">
        <v>2021</v>
      </c>
      <c r="AQ40" s="2">
        <f t="shared" si="9"/>
        <v>37</v>
      </c>
      <c r="AR40" s="17">
        <v>57491</v>
      </c>
      <c r="AS40">
        <f t="shared" si="13"/>
        <v>59831.25</v>
      </c>
      <c r="AT40">
        <f t="shared" si="14"/>
        <v>60094</v>
      </c>
      <c r="AU40">
        <f t="shared" si="15"/>
        <v>0.95668452757346822</v>
      </c>
      <c r="AV40">
        <f t="shared" si="3"/>
        <v>0.92917728627801888</v>
      </c>
      <c r="AW40">
        <f t="shared" si="4"/>
        <v>61873.014815385977</v>
      </c>
      <c r="AX40">
        <f t="shared" si="5"/>
        <v>51978.203121248494</v>
      </c>
      <c r="AY40">
        <f t="shared" si="6"/>
        <v>48296.965721809327</v>
      </c>
    </row>
    <row r="41" spans="1:51" x14ac:dyDescent="0.2">
      <c r="A41" s="54">
        <f t="shared" si="7"/>
        <v>38</v>
      </c>
      <c r="B41" s="10">
        <v>58004</v>
      </c>
      <c r="D41" s="55">
        <f t="shared" si="10"/>
        <v>64273.5</v>
      </c>
      <c r="E41" s="4">
        <f t="shared" si="11"/>
        <v>6269.5</v>
      </c>
      <c r="F41" s="57">
        <f t="shared" si="12"/>
        <v>2676458490.25</v>
      </c>
      <c r="H41" s="55">
        <f t="shared" si="16"/>
        <v>60440.333333333336</v>
      </c>
      <c r="I41" s="4">
        <f t="shared" si="17"/>
        <v>2436.3333333333358</v>
      </c>
      <c r="J41" s="57">
        <f t="shared" si="21"/>
        <v>53401992.111111075</v>
      </c>
      <c r="L41" s="55">
        <f t="shared" si="22"/>
        <v>57891.25</v>
      </c>
      <c r="M41" s="4">
        <f t="shared" si="23"/>
        <v>112.75</v>
      </c>
      <c r="N41" s="57">
        <f t="shared" si="24"/>
        <v>12712.5625</v>
      </c>
      <c r="P41" s="55">
        <f t="shared" si="18"/>
        <v>57490.999011670043</v>
      </c>
      <c r="Q41" s="4">
        <f t="shared" si="19"/>
        <v>513.00098832995718</v>
      </c>
      <c r="R41" s="4">
        <f t="shared" si="20"/>
        <v>263170.01402751287</v>
      </c>
      <c r="T41" s="10"/>
      <c r="V41" s="9">
        <f t="shared" si="2"/>
        <v>47178.23883990389</v>
      </c>
      <c r="W41">
        <f t="shared" si="0"/>
        <v>10825.76116009611</v>
      </c>
      <c r="X41">
        <f t="shared" si="1"/>
        <v>117197104.69544548</v>
      </c>
      <c r="Z41" s="10"/>
      <c r="AO41" s="45" t="s">
        <v>131</v>
      </c>
      <c r="AP41" s="45">
        <v>2021</v>
      </c>
      <c r="AQ41" s="2">
        <f t="shared" si="9"/>
        <v>38</v>
      </c>
      <c r="AR41" s="17">
        <v>58004</v>
      </c>
      <c r="AS41">
        <f t="shared" si="13"/>
        <v>60356.75</v>
      </c>
      <c r="AT41">
        <f t="shared" si="14"/>
        <v>60401.75</v>
      </c>
      <c r="AU41">
        <f t="shared" si="15"/>
        <v>0.96030330247054096</v>
      </c>
      <c r="AV41">
        <f t="shared" si="3"/>
        <v>0.91190964756053527</v>
      </c>
      <c r="AW41">
        <f t="shared" si="4"/>
        <v>63607.178797995468</v>
      </c>
      <c r="AX41">
        <f t="shared" si="5"/>
        <v>53269.318175270106</v>
      </c>
      <c r="AY41">
        <f t="shared" si="6"/>
        <v>48576.805163000579</v>
      </c>
    </row>
    <row r="42" spans="1:51" x14ac:dyDescent="0.2">
      <c r="A42" s="54">
        <f t="shared" si="7"/>
        <v>39</v>
      </c>
      <c r="B42" s="10">
        <v>54876</v>
      </c>
      <c r="D42" s="55">
        <f t="shared" si="10"/>
        <v>57747.5</v>
      </c>
      <c r="E42" s="4">
        <f t="shared" si="11"/>
        <v>2871.5</v>
      </c>
      <c r="F42" s="57">
        <f t="shared" si="12"/>
        <v>2704468020.25</v>
      </c>
      <c r="H42" s="55">
        <f t="shared" si="16"/>
        <v>62183.666666666664</v>
      </c>
      <c r="I42" s="4">
        <f t="shared" si="17"/>
        <v>7307.6666666666642</v>
      </c>
      <c r="J42" s="57">
        <f t="shared" si="21"/>
        <v>213910125.44444439</v>
      </c>
      <c r="L42" s="55">
        <f t="shared" si="22"/>
        <v>59831.25</v>
      </c>
      <c r="M42" s="4">
        <f t="shared" si="23"/>
        <v>4955.25</v>
      </c>
      <c r="N42" s="57">
        <f t="shared" si="24"/>
        <v>24554502.5625</v>
      </c>
      <c r="P42" s="55">
        <f t="shared" si="18"/>
        <v>58003.999012304077</v>
      </c>
      <c r="Q42" s="4">
        <f t="shared" si="19"/>
        <v>3127.999012304077</v>
      </c>
      <c r="R42" s="4">
        <f t="shared" si="20"/>
        <v>9784377.8209752813</v>
      </c>
      <c r="T42" s="10"/>
      <c r="V42" s="9">
        <f t="shared" si="2"/>
        <v>48802.103013918306</v>
      </c>
      <c r="W42">
        <f t="shared" si="0"/>
        <v>6073.8969860816942</v>
      </c>
      <c r="X42">
        <f t="shared" si="1"/>
        <v>36892224.597532287</v>
      </c>
      <c r="Z42" s="10"/>
      <c r="AO42" s="45" t="s">
        <v>132</v>
      </c>
      <c r="AP42" s="45">
        <v>2021</v>
      </c>
      <c r="AQ42" s="2">
        <f t="shared" si="9"/>
        <v>39</v>
      </c>
      <c r="AR42" s="17">
        <v>54876</v>
      </c>
      <c r="AS42">
        <f t="shared" si="13"/>
        <v>60446.75</v>
      </c>
      <c r="AT42">
        <f t="shared" si="14"/>
        <v>60317.25</v>
      </c>
      <c r="AU42">
        <f t="shared" si="15"/>
        <v>0.90978948808176763</v>
      </c>
      <c r="AV42">
        <f t="shared" si="3"/>
        <v>1.0135546225959615</v>
      </c>
      <c r="AW42">
        <f t="shared" si="4"/>
        <v>54142.123943403392</v>
      </c>
      <c r="AX42">
        <f t="shared" si="5"/>
        <v>54560.433229291717</v>
      </c>
      <c r="AY42">
        <f t="shared" si="6"/>
        <v>55299.979310386923</v>
      </c>
    </row>
    <row r="43" spans="1:51" x14ac:dyDescent="0.2">
      <c r="A43" s="54">
        <f t="shared" si="7"/>
        <v>40</v>
      </c>
      <c r="B43" s="10">
        <f>241787-(B40+B41+B42)</f>
        <v>71416</v>
      </c>
      <c r="D43" s="55">
        <f t="shared" si="10"/>
        <v>56440</v>
      </c>
      <c r="E43" s="4">
        <f t="shared" si="11"/>
        <v>14976</v>
      </c>
      <c r="F43" s="57">
        <f t="shared" si="12"/>
        <v>3185473600</v>
      </c>
      <c r="H43" s="55">
        <f t="shared" si="16"/>
        <v>56790.333333333336</v>
      </c>
      <c r="I43" s="4">
        <f t="shared" si="17"/>
        <v>14625.666666666664</v>
      </c>
      <c r="J43" s="57">
        <f t="shared" si="21"/>
        <v>24770529</v>
      </c>
      <c r="L43" s="55">
        <f t="shared" si="22"/>
        <v>60356.75</v>
      </c>
      <c r="M43" s="4">
        <f t="shared" si="23"/>
        <v>11059.25</v>
      </c>
      <c r="N43" s="57">
        <f t="shared" si="24"/>
        <v>122307010.5625</v>
      </c>
      <c r="P43" s="55">
        <f t="shared" si="18"/>
        <v>54875.999057485511</v>
      </c>
      <c r="Q43" s="4">
        <f t="shared" si="19"/>
        <v>16540.000942514489</v>
      </c>
      <c r="R43" s="4">
        <f t="shared" si="20"/>
        <v>273571631.17838019</v>
      </c>
      <c r="T43" s="10"/>
      <c r="V43" s="9">
        <f t="shared" si="2"/>
        <v>49713.187561830564</v>
      </c>
      <c r="W43">
        <f t="shared" si="0"/>
        <v>21702.812438169436</v>
      </c>
      <c r="X43">
        <f t="shared" si="1"/>
        <v>471012067.72636199</v>
      </c>
      <c r="Z43" s="10"/>
      <c r="AO43" s="45" t="s">
        <v>133</v>
      </c>
      <c r="AP43" s="45">
        <v>2021</v>
      </c>
      <c r="AQ43" s="2">
        <f t="shared" si="9"/>
        <v>40</v>
      </c>
      <c r="AR43" s="17">
        <f>241787-(AR40+AR41+AR42)</f>
        <v>71416</v>
      </c>
      <c r="AS43">
        <f t="shared" si="13"/>
        <v>60187.75</v>
      </c>
      <c r="AT43">
        <f t="shared" si="14"/>
        <v>60009.125</v>
      </c>
      <c r="AU43">
        <f t="shared" si="15"/>
        <v>1.190085674470341</v>
      </c>
      <c r="AV43">
        <f t="shared" si="3"/>
        <v>1.2253380598827457</v>
      </c>
      <c r="AW43">
        <f t="shared" si="4"/>
        <v>58282.691396065748</v>
      </c>
      <c r="AX43">
        <f t="shared" si="5"/>
        <v>55851.548283313321</v>
      </c>
      <c r="AY43">
        <f t="shared" si="6"/>
        <v>68437.027814922636</v>
      </c>
    </row>
    <row r="44" spans="1:51" x14ac:dyDescent="0.2">
      <c r="A44" s="54">
        <f t="shared" si="7"/>
        <v>41</v>
      </c>
      <c r="B44" s="10">
        <v>56455</v>
      </c>
      <c r="D44" s="55">
        <f t="shared" si="10"/>
        <v>63146</v>
      </c>
      <c r="E44" s="4">
        <f t="shared" si="11"/>
        <v>6691</v>
      </c>
      <c r="F44" s="57">
        <f t="shared" si="12"/>
        <v>2476455696</v>
      </c>
      <c r="H44" s="55">
        <f t="shared" si="16"/>
        <v>61432</v>
      </c>
      <c r="I44" s="4">
        <f t="shared" si="17"/>
        <v>4977</v>
      </c>
      <c r="J44" s="57">
        <f t="shared" si="21"/>
        <v>18841387.11111109</v>
      </c>
      <c r="L44" s="55">
        <f t="shared" si="22"/>
        <v>60446.75</v>
      </c>
      <c r="M44" s="4">
        <f t="shared" si="23"/>
        <v>3991.75</v>
      </c>
      <c r="N44" s="57">
        <f t="shared" si="24"/>
        <v>15934068.0625</v>
      </c>
      <c r="P44" s="55">
        <f t="shared" si="18"/>
        <v>71415.998740551193</v>
      </c>
      <c r="Q44" s="4">
        <f t="shared" si="19"/>
        <v>14960.998740551193</v>
      </c>
      <c r="R44" s="4">
        <f t="shared" si="20"/>
        <v>223831483.31477439</v>
      </c>
      <c r="T44" s="10"/>
      <c r="V44" s="9">
        <f t="shared" si="2"/>
        <v>52968.609427555981</v>
      </c>
      <c r="W44">
        <f t="shared" si="0"/>
        <v>3486.3905724440192</v>
      </c>
      <c r="X44">
        <f t="shared" si="1"/>
        <v>12154919.223626535</v>
      </c>
      <c r="Z44" s="10"/>
      <c r="AO44" s="45" t="s">
        <v>130</v>
      </c>
      <c r="AP44" s="45">
        <v>2022</v>
      </c>
      <c r="AQ44" s="2">
        <f t="shared" si="9"/>
        <v>41</v>
      </c>
      <c r="AR44" s="17">
        <v>56455</v>
      </c>
      <c r="AS44">
        <f t="shared" si="13"/>
        <v>59830.5</v>
      </c>
      <c r="AT44">
        <f t="shared" si="14"/>
        <v>60388.5</v>
      </c>
      <c r="AU44">
        <f t="shared" si="15"/>
        <v>0.93486342598342398</v>
      </c>
      <c r="AV44">
        <f t="shared" si="3"/>
        <v>0.92917728627801888</v>
      </c>
      <c r="AW44">
        <f t="shared" si="4"/>
        <v>60758.049980042364</v>
      </c>
      <c r="AX44">
        <f t="shared" si="5"/>
        <v>57142.663337334932</v>
      </c>
      <c r="AY44">
        <f t="shared" si="6"/>
        <v>53095.664850483314</v>
      </c>
    </row>
    <row r="45" spans="1:51" x14ac:dyDescent="0.2">
      <c r="A45" s="54">
        <f t="shared" si="7"/>
        <v>42</v>
      </c>
      <c r="B45" s="10">
        <v>56575</v>
      </c>
      <c r="D45" s="55">
        <f t="shared" si="10"/>
        <v>63935.5</v>
      </c>
      <c r="E45" s="4">
        <f t="shared" si="11"/>
        <v>7360.5</v>
      </c>
      <c r="F45" s="57">
        <f t="shared" si="12"/>
        <v>2422067010.25</v>
      </c>
      <c r="H45" s="55">
        <f t="shared" si="16"/>
        <v>60915.666666666664</v>
      </c>
      <c r="I45" s="4">
        <f t="shared" si="17"/>
        <v>4340.6666666666642</v>
      </c>
      <c r="J45" s="57">
        <f t="shared" si="21"/>
        <v>4588164</v>
      </c>
      <c r="L45" s="55">
        <f t="shared" si="22"/>
        <v>60187.75</v>
      </c>
      <c r="M45" s="4">
        <f t="shared" si="23"/>
        <v>3612.75</v>
      </c>
      <c r="N45" s="57">
        <f t="shared" si="24"/>
        <v>13051962.5625</v>
      </c>
      <c r="P45" s="55">
        <f t="shared" si="18"/>
        <v>56454.999033966502</v>
      </c>
      <c r="Q45" s="4">
        <f t="shared" si="19"/>
        <v>120.00096603349812</v>
      </c>
      <c r="R45" s="4">
        <f t="shared" si="20"/>
        <v>14400.23184897277</v>
      </c>
      <c r="T45" s="10"/>
      <c r="V45" s="9">
        <f t="shared" si="2"/>
        <v>53491.568013422584</v>
      </c>
      <c r="W45">
        <f t="shared" si="0"/>
        <v>3083.431986577416</v>
      </c>
      <c r="X45">
        <f t="shared" si="1"/>
        <v>9507552.8158487491</v>
      </c>
      <c r="Z45" s="10"/>
      <c r="AO45" s="45" t="s">
        <v>131</v>
      </c>
      <c r="AP45" s="45">
        <v>2022</v>
      </c>
      <c r="AQ45" s="2">
        <f t="shared" si="9"/>
        <v>42</v>
      </c>
      <c r="AR45" s="17">
        <v>56575</v>
      </c>
      <c r="AS45">
        <f t="shared" si="13"/>
        <v>60946.5</v>
      </c>
      <c r="AT45">
        <f t="shared" si="14"/>
        <v>60835.875</v>
      </c>
      <c r="AU45">
        <f t="shared" si="15"/>
        <v>0.92996114545899111</v>
      </c>
      <c r="AV45">
        <f t="shared" si="3"/>
        <v>0.91190964756053527</v>
      </c>
      <c r="AW45">
        <f t="shared" si="4"/>
        <v>62040.137585280216</v>
      </c>
      <c r="AX45">
        <f t="shared" si="5"/>
        <v>58433.778391356544</v>
      </c>
      <c r="AY45">
        <f t="shared" si="6"/>
        <v>53286.326258492365</v>
      </c>
    </row>
    <row r="46" spans="1:51" x14ac:dyDescent="0.2">
      <c r="A46" s="54">
        <f t="shared" si="7"/>
        <v>43</v>
      </c>
      <c r="B46" s="10">
        <v>59340</v>
      </c>
      <c r="D46" s="55">
        <f t="shared" si="10"/>
        <v>56515</v>
      </c>
      <c r="E46" s="4">
        <f t="shared" si="11"/>
        <v>2825</v>
      </c>
      <c r="F46" s="57">
        <f t="shared" si="12"/>
        <v>3193945225</v>
      </c>
      <c r="H46" s="55">
        <f t="shared" si="16"/>
        <v>61482</v>
      </c>
      <c r="I46" s="4">
        <f t="shared" si="17"/>
        <v>2142</v>
      </c>
      <c r="J46" s="57">
        <f t="shared" si="21"/>
        <v>170938192.11111116</v>
      </c>
      <c r="L46" s="55">
        <f t="shared" si="22"/>
        <v>59830.5</v>
      </c>
      <c r="M46" s="4">
        <f t="shared" si="23"/>
        <v>490.5</v>
      </c>
      <c r="N46" s="57">
        <f t="shared" si="24"/>
        <v>240590.25</v>
      </c>
      <c r="P46" s="55">
        <f t="shared" si="18"/>
        <v>56574.999039208546</v>
      </c>
      <c r="Q46" s="4">
        <f t="shared" si="19"/>
        <v>2765.0009607914544</v>
      </c>
      <c r="R46" s="4">
        <f t="shared" si="20"/>
        <v>7645230.3131776657</v>
      </c>
      <c r="T46" s="10"/>
      <c r="V46" s="9">
        <f t="shared" si="2"/>
        <v>53954.082811409193</v>
      </c>
      <c r="W46">
        <f t="shared" si="0"/>
        <v>5385.9171885908072</v>
      </c>
      <c r="X46">
        <f t="shared" si="1"/>
        <v>29008103.962357905</v>
      </c>
      <c r="Z46" s="10"/>
      <c r="AO46" s="45" t="s">
        <v>132</v>
      </c>
      <c r="AP46" s="45">
        <v>2022</v>
      </c>
      <c r="AQ46" s="2">
        <f t="shared" si="9"/>
        <v>43</v>
      </c>
      <c r="AR46" s="17">
        <v>59340</v>
      </c>
      <c r="AS46">
        <f t="shared" si="13"/>
        <v>60725.25</v>
      </c>
      <c r="AT46">
        <f t="shared" si="14"/>
        <v>60791</v>
      </c>
      <c r="AU46">
        <f t="shared" si="15"/>
        <v>0.97613133523054396</v>
      </c>
      <c r="AV46">
        <f t="shared" si="3"/>
        <v>1.0135546225959615</v>
      </c>
      <c r="AW46">
        <f t="shared" si="4"/>
        <v>58546.425300706273</v>
      </c>
      <c r="AX46">
        <f t="shared" si="5"/>
        <v>59724.893445378148</v>
      </c>
      <c r="AY46">
        <f t="shared" si="6"/>
        <v>60534.441835614263</v>
      </c>
    </row>
    <row r="47" spans="1:51" x14ac:dyDescent="0.2">
      <c r="A47" s="54">
        <f t="shared" si="7"/>
        <v>44</v>
      </c>
      <c r="B47" s="10">
        <f>242901-SUM(B44:B46)</f>
        <v>70531</v>
      </c>
      <c r="D47" s="55">
        <f t="shared" si="10"/>
        <v>57957.5</v>
      </c>
      <c r="E47" s="4">
        <f t="shared" si="11"/>
        <v>12573.5</v>
      </c>
      <c r="F47" s="57">
        <f t="shared" si="12"/>
        <v>3359071806.25</v>
      </c>
      <c r="H47" s="55">
        <f t="shared" si="16"/>
        <v>57456.666666666664</v>
      </c>
      <c r="I47" s="4">
        <f t="shared" si="17"/>
        <v>13074.333333333336</v>
      </c>
      <c r="J47" s="57">
        <f t="shared" si="21"/>
        <v>26704778.777777754</v>
      </c>
      <c r="L47" s="55">
        <f t="shared" si="22"/>
        <v>60946.5</v>
      </c>
      <c r="M47" s="4">
        <f t="shared" si="23"/>
        <v>9584.5</v>
      </c>
      <c r="N47" s="57">
        <f t="shared" si="24"/>
        <v>91862640.25</v>
      </c>
      <c r="P47" s="55">
        <f t="shared" si="18"/>
        <v>59339.998970254375</v>
      </c>
      <c r="Q47" s="4">
        <f t="shared" si="19"/>
        <v>11191.001029745625</v>
      </c>
      <c r="R47" s="4">
        <f t="shared" si="20"/>
        <v>125238504.04776764</v>
      </c>
      <c r="T47" s="10"/>
      <c r="V47" s="9">
        <f t="shared" si="2"/>
        <v>54761.97038969781</v>
      </c>
      <c r="W47">
        <f t="shared" si="0"/>
        <v>15769.02961030219</v>
      </c>
      <c r="X47">
        <f t="shared" si="1"/>
        <v>248662294.85058725</v>
      </c>
      <c r="Z47" s="10"/>
      <c r="AO47" s="45" t="s">
        <v>133</v>
      </c>
      <c r="AP47" s="45">
        <v>2022</v>
      </c>
      <c r="AQ47" s="2">
        <f t="shared" si="9"/>
        <v>44</v>
      </c>
      <c r="AR47" s="17">
        <f>242901-SUM(AR44:AR46)</f>
        <v>70531</v>
      </c>
      <c r="AS47">
        <f t="shared" si="13"/>
        <v>60856.75</v>
      </c>
      <c r="AT47">
        <f t="shared" si="14"/>
        <v>61163.875</v>
      </c>
      <c r="AU47">
        <f t="shared" si="15"/>
        <v>1.1531479978990866</v>
      </c>
      <c r="AV47">
        <f t="shared" si="3"/>
        <v>1.2253380598827457</v>
      </c>
      <c r="AW47">
        <f t="shared" si="4"/>
        <v>57560.441733727923</v>
      </c>
      <c r="AX47">
        <f t="shared" si="5"/>
        <v>61016.008499399759</v>
      </c>
      <c r="AY47">
        <f t="shared" si="6"/>
        <v>74765.237476443624</v>
      </c>
    </row>
    <row r="48" spans="1:51" x14ac:dyDescent="0.2">
      <c r="A48" s="54">
        <f t="shared" si="7"/>
        <v>45</v>
      </c>
      <c r="B48" s="10">
        <v>56981</v>
      </c>
      <c r="D48" s="55">
        <f t="shared" si="10"/>
        <v>64935.5</v>
      </c>
      <c r="E48" s="4">
        <f t="shared" si="11"/>
        <v>7954.5</v>
      </c>
      <c r="F48" s="57">
        <f t="shared" si="12"/>
        <v>2403597702.25</v>
      </c>
      <c r="H48" s="55">
        <f t="shared" si="16"/>
        <v>62148.666666666664</v>
      </c>
      <c r="I48" s="4">
        <f t="shared" si="17"/>
        <v>5167.6666666666642</v>
      </c>
      <c r="J48" s="57">
        <f t="shared" si="21"/>
        <v>10575504</v>
      </c>
      <c r="L48" s="55">
        <f t="shared" si="22"/>
        <v>60725.25</v>
      </c>
      <c r="M48" s="4">
        <f t="shared" si="23"/>
        <v>3744.25</v>
      </c>
      <c r="N48" s="57">
        <f t="shared" si="24"/>
        <v>14019408.0625</v>
      </c>
      <c r="P48" s="55">
        <f t="shared" si="18"/>
        <v>70530.998759002017</v>
      </c>
      <c r="Q48" s="4">
        <f t="shared" si="19"/>
        <v>13549.998759002017</v>
      </c>
      <c r="R48" s="4">
        <f t="shared" si="20"/>
        <v>183602466.36895621</v>
      </c>
      <c r="T48" s="10"/>
      <c r="V48" s="9">
        <f t="shared" si="2"/>
        <v>57127.324831243139</v>
      </c>
      <c r="W48">
        <f t="shared" si="0"/>
        <v>146.32483124313876</v>
      </c>
      <c r="X48">
        <f t="shared" si="1"/>
        <v>21410.956238333038</v>
      </c>
      <c r="Z48" s="10"/>
      <c r="AO48" s="45" t="s">
        <v>130</v>
      </c>
      <c r="AP48" s="45">
        <v>2023</v>
      </c>
      <c r="AQ48" s="2">
        <f t="shared" si="9"/>
        <v>45</v>
      </c>
      <c r="AR48" s="17">
        <v>56981</v>
      </c>
      <c r="AS48">
        <f t="shared" si="13"/>
        <v>61471</v>
      </c>
      <c r="AT48">
        <f t="shared" si="14"/>
        <v>61949.875</v>
      </c>
      <c r="AU48">
        <f t="shared" si="15"/>
        <v>0.91979200926555538</v>
      </c>
      <c r="AV48">
        <f t="shared" si="3"/>
        <v>0.92917728627801888</v>
      </c>
      <c r="AW48">
        <f t="shared" si="4"/>
        <v>61324.142164782461</v>
      </c>
      <c r="AX48">
        <f t="shared" si="5"/>
        <v>62307.12355342137</v>
      </c>
      <c r="AY48">
        <f t="shared" si="6"/>
        <v>57894.3639791573</v>
      </c>
    </row>
    <row r="49" spans="1:53" x14ac:dyDescent="0.2">
      <c r="A49" s="54">
        <f t="shared" si="7"/>
        <v>46</v>
      </c>
      <c r="B49" s="10">
        <v>59032</v>
      </c>
      <c r="D49" s="55">
        <f t="shared" si="10"/>
        <v>63756</v>
      </c>
      <c r="E49" s="4">
        <f t="shared" si="11"/>
        <v>4724</v>
      </c>
      <c r="F49" s="57">
        <f t="shared" si="12"/>
        <v>2949358864</v>
      </c>
      <c r="H49" s="55">
        <f t="shared" si="16"/>
        <v>62284</v>
      </c>
      <c r="I49" s="4">
        <f t="shared" si="17"/>
        <v>3252</v>
      </c>
      <c r="J49" s="57">
        <f t="shared" si="21"/>
        <v>979440.11111110635</v>
      </c>
      <c r="L49" s="55">
        <f t="shared" si="22"/>
        <v>60856.75</v>
      </c>
      <c r="M49" s="4">
        <f t="shared" si="23"/>
        <v>1824.75</v>
      </c>
      <c r="N49" s="57">
        <f t="shared" si="24"/>
        <v>3329712.5625</v>
      </c>
      <c r="P49" s="55">
        <f t="shared" si="18"/>
        <v>56980.999028189748</v>
      </c>
      <c r="Q49" s="4">
        <f t="shared" si="19"/>
        <v>2051.0009718102519</v>
      </c>
      <c r="R49" s="4">
        <f t="shared" si="20"/>
        <v>4206604.9863665979</v>
      </c>
      <c r="T49" s="10"/>
      <c r="V49" s="9">
        <f t="shared" si="2"/>
        <v>57105.376106556665</v>
      </c>
      <c r="W49">
        <f t="shared" si="0"/>
        <v>1926.623893443335</v>
      </c>
      <c r="X49">
        <f t="shared" si="1"/>
        <v>3711879.6267867549</v>
      </c>
      <c r="Z49" s="10"/>
      <c r="AO49" s="45" t="s">
        <v>131</v>
      </c>
      <c r="AP49" s="45">
        <v>2023</v>
      </c>
      <c r="AQ49" s="2">
        <f t="shared" si="9"/>
        <v>46</v>
      </c>
      <c r="AR49" s="17">
        <v>59032</v>
      </c>
      <c r="AS49">
        <f t="shared" si="13"/>
        <v>62428.75</v>
      </c>
      <c r="AT49">
        <f t="shared" si="14"/>
        <v>63200.25</v>
      </c>
      <c r="AU49">
        <f t="shared" si="15"/>
        <v>0.93404693810546635</v>
      </c>
      <c r="AV49">
        <f t="shared" si="3"/>
        <v>0.91190964756053527</v>
      </c>
      <c r="AW49">
        <f t="shared" si="4"/>
        <v>64734.483463265788</v>
      </c>
      <c r="AX49">
        <f t="shared" si="5"/>
        <v>63598.238607442974</v>
      </c>
      <c r="AY49">
        <f t="shared" si="6"/>
        <v>57995.847353984151</v>
      </c>
    </row>
    <row r="50" spans="1:53" x14ac:dyDescent="0.2">
      <c r="A50" s="54">
        <f t="shared" si="7"/>
        <v>47</v>
      </c>
      <c r="B50" s="10">
        <v>63171</v>
      </c>
      <c r="D50" s="55">
        <f t="shared" si="10"/>
        <v>58006.5</v>
      </c>
      <c r="E50" s="4">
        <f t="shared" si="11"/>
        <v>5164.5</v>
      </c>
      <c r="F50" s="57">
        <f t="shared" si="12"/>
        <v>3364754042.25</v>
      </c>
      <c r="H50" s="55">
        <f t="shared" si="16"/>
        <v>62181.333333333336</v>
      </c>
      <c r="I50" s="4">
        <f t="shared" si="17"/>
        <v>989.66666666666424</v>
      </c>
      <c r="J50" s="57">
        <f t="shared" si="21"/>
        <v>288150625</v>
      </c>
      <c r="L50" s="55">
        <f t="shared" si="22"/>
        <v>61471</v>
      </c>
      <c r="M50" s="4">
        <f t="shared" si="23"/>
        <v>1700</v>
      </c>
      <c r="N50" s="57">
        <f t="shared" si="24"/>
        <v>2890000</v>
      </c>
      <c r="P50" s="55">
        <f t="shared" si="18"/>
        <v>59031.998991775981</v>
      </c>
      <c r="Q50" s="4">
        <f t="shared" si="19"/>
        <v>4139.0010082240187</v>
      </c>
      <c r="R50" s="4">
        <f t="shared" si="20"/>
        <v>17131329.346079443</v>
      </c>
      <c r="T50" s="10"/>
      <c r="V50" s="9">
        <f t="shared" si="2"/>
        <v>57394.369690573163</v>
      </c>
      <c r="W50">
        <f t="shared" si="0"/>
        <v>5776.6303094268369</v>
      </c>
      <c r="X50">
        <f t="shared" si="1"/>
        <v>33369457.731788792</v>
      </c>
      <c r="Z50" s="10"/>
      <c r="AO50" s="45" t="s">
        <v>132</v>
      </c>
      <c r="AP50" s="45">
        <v>2023</v>
      </c>
      <c r="AQ50" s="2">
        <f t="shared" si="9"/>
        <v>47</v>
      </c>
      <c r="AR50" s="17">
        <v>63171</v>
      </c>
      <c r="AS50">
        <f t="shared" si="13"/>
        <v>63971.75</v>
      </c>
      <c r="AT50">
        <f t="shared" si="14"/>
        <v>32009.625</v>
      </c>
      <c r="AU50">
        <f t="shared" si="15"/>
        <v>1.9735001581555547</v>
      </c>
      <c r="AV50">
        <f t="shared" si="3"/>
        <v>1.0135546225959615</v>
      </c>
      <c r="AW50">
        <f t="shared" si="4"/>
        <v>62326.191989735693</v>
      </c>
      <c r="AX50">
        <f t="shared" si="5"/>
        <v>64889.353661464585</v>
      </c>
      <c r="AY50">
        <f t="shared" si="6"/>
        <v>65768.90436084161</v>
      </c>
    </row>
    <row r="51" spans="1:53" x14ac:dyDescent="0.2">
      <c r="A51" s="54">
        <f t="shared" si="7"/>
        <v>48</v>
      </c>
      <c r="B51" s="10">
        <f>255887-(B48+B49+B50)</f>
        <v>76703</v>
      </c>
      <c r="D51" s="55">
        <f t="shared" si="10"/>
        <v>61101.5</v>
      </c>
      <c r="E51" s="4">
        <f t="shared" si="11"/>
        <v>15601.5</v>
      </c>
      <c r="F51" s="57">
        <f t="shared" si="12"/>
        <v>3733393302.25</v>
      </c>
      <c r="H51" s="55">
        <f t="shared" si="16"/>
        <v>59728</v>
      </c>
      <c r="I51" s="4">
        <f t="shared" si="17"/>
        <v>16975</v>
      </c>
      <c r="J51" s="57">
        <f t="shared" si="21"/>
        <v>29019769</v>
      </c>
      <c r="L51" s="55">
        <f t="shared" si="22"/>
        <v>62428.75</v>
      </c>
      <c r="M51" s="4">
        <f t="shared" si="23"/>
        <v>14274.25</v>
      </c>
      <c r="N51" s="57">
        <f t="shared" si="24"/>
        <v>203754213.0625</v>
      </c>
      <c r="P51" s="55">
        <f t="shared" si="18"/>
        <v>63170.998899528538</v>
      </c>
      <c r="Q51" s="4">
        <f t="shared" si="19"/>
        <v>13532.001100471462</v>
      </c>
      <c r="R51" s="4">
        <f t="shared" si="20"/>
        <v>183115053.78316084</v>
      </c>
      <c r="T51" s="10"/>
      <c r="V51" s="9">
        <f t="shared" si="2"/>
        <v>58260.864236987189</v>
      </c>
      <c r="W51">
        <f t="shared" si="0"/>
        <v>18442.135763012811</v>
      </c>
      <c r="X51">
        <f t="shared" si="1"/>
        <v>340112371.50139612</v>
      </c>
      <c r="Z51" s="10"/>
      <c r="AO51" s="45" t="s">
        <v>133</v>
      </c>
      <c r="AP51" s="45">
        <v>2023</v>
      </c>
      <c r="AQ51" s="2">
        <f t="shared" si="9"/>
        <v>48</v>
      </c>
      <c r="AR51" s="17">
        <f>255887-(AR48+AR49+AR50)</f>
        <v>76703</v>
      </c>
      <c r="AS51">
        <f>AVERAGE(AQ49:AQ52)</f>
        <v>47.5</v>
      </c>
      <c r="AT51">
        <f>AVERAGE(AR51:AR52)</f>
        <v>68809</v>
      </c>
      <c r="AU51">
        <f>AR51/AT51</f>
        <v>1.1147233646761325</v>
      </c>
      <c r="AV51">
        <f t="shared" si="3"/>
        <v>1.2253380598827457</v>
      </c>
      <c r="AW51">
        <f t="shared" si="4"/>
        <v>62597.419039885055</v>
      </c>
      <c r="AX51">
        <f t="shared" si="5"/>
        <v>66180.468715486204</v>
      </c>
      <c r="AY51">
        <f t="shared" si="6"/>
        <v>81093.447137964613</v>
      </c>
    </row>
    <row r="52" spans="1:53" x14ac:dyDescent="0.2">
      <c r="A52" s="54">
        <f t="shared" si="7"/>
        <v>49</v>
      </c>
      <c r="B52" s="10">
        <v>60915</v>
      </c>
      <c r="D52" s="55">
        <f t="shared" si="10"/>
        <v>69937</v>
      </c>
      <c r="E52" s="4">
        <f t="shared" si="11"/>
        <v>9022</v>
      </c>
      <c r="F52" s="57">
        <f t="shared" si="12"/>
        <v>2692883449</v>
      </c>
      <c r="H52" s="55">
        <f t="shared" si="16"/>
        <v>66302</v>
      </c>
      <c r="I52" s="4">
        <f t="shared" si="17"/>
        <v>5387</v>
      </c>
      <c r="J52" s="57">
        <f t="shared" si="21"/>
        <v>28736747.111111164</v>
      </c>
      <c r="L52" s="55">
        <f t="shared" si="22"/>
        <v>63971.75</v>
      </c>
      <c r="M52" s="4">
        <f t="shared" si="23"/>
        <v>3056.75</v>
      </c>
      <c r="N52" s="57">
        <f t="shared" si="24"/>
        <v>9343720.5625</v>
      </c>
      <c r="P52" s="55">
        <f t="shared" si="18"/>
        <v>76702.998646725246</v>
      </c>
      <c r="Q52" s="4">
        <f t="shared" si="19"/>
        <v>15787.998646725246</v>
      </c>
      <c r="R52" s="4">
        <f t="shared" si="20"/>
        <v>249260901.26899818</v>
      </c>
      <c r="T52" s="10"/>
      <c r="V52" s="9">
        <f t="shared" si="2"/>
        <v>61027.184601439105</v>
      </c>
      <c r="W52">
        <f t="shared" si="0"/>
        <v>112.18460143910488</v>
      </c>
      <c r="X52">
        <f t="shared" si="1"/>
        <v>12585.384800050813</v>
      </c>
      <c r="Z52" s="10"/>
      <c r="AO52" s="45" t="s">
        <v>130</v>
      </c>
      <c r="AP52" s="45">
        <v>2024</v>
      </c>
      <c r="AQ52" s="2">
        <f t="shared" si="9"/>
        <v>49</v>
      </c>
      <c r="AR52" s="17">
        <v>60915</v>
      </c>
      <c r="AS52">
        <f>AVERAGE(AQ50:AQ53)</f>
        <v>48.5</v>
      </c>
      <c r="AT52">
        <f>AVERAGE(AR52:AR53)</f>
        <v>61242</v>
      </c>
      <c r="AU52">
        <f>AR52/AT52</f>
        <v>0.99466052708925246</v>
      </c>
      <c r="AV52">
        <f t="shared" si="3"/>
        <v>0.92917728627801888</v>
      </c>
      <c r="AW52">
        <f t="shared" si="4"/>
        <v>65557.995120614301</v>
      </c>
      <c r="AX52">
        <f t="shared" si="5"/>
        <v>67471.583769507793</v>
      </c>
      <c r="AY52">
        <f t="shared" si="6"/>
        <v>62693.063107831273</v>
      </c>
    </row>
    <row r="53" spans="1:53" ht="16" thickBot="1" x14ac:dyDescent="0.25">
      <c r="A53" s="54">
        <f t="shared" si="7"/>
        <v>50</v>
      </c>
      <c r="B53" s="10">
        <v>61569</v>
      </c>
      <c r="D53" s="55">
        <f t="shared" si="10"/>
        <v>68809</v>
      </c>
      <c r="E53" s="4">
        <f t="shared" si="11"/>
        <v>7240</v>
      </c>
      <c r="F53" s="57">
        <f t="shared" si="12"/>
        <v>2951640241</v>
      </c>
      <c r="H53" s="55">
        <f t="shared" si="16"/>
        <v>66929.666666666672</v>
      </c>
      <c r="I53" s="4">
        <f t="shared" si="17"/>
        <v>5360.6666666666715</v>
      </c>
      <c r="J53" s="57">
        <f t="shared" si="21"/>
        <v>0</v>
      </c>
      <c r="L53" s="55">
        <f t="shared" si="22"/>
        <v>64955.25</v>
      </c>
      <c r="M53" s="4">
        <f t="shared" si="23"/>
        <v>3386.25</v>
      </c>
      <c r="N53" s="57">
        <f t="shared" si="24"/>
        <v>11466689.0625</v>
      </c>
      <c r="P53" s="58">
        <f t="shared" si="18"/>
        <v>60914.998961721511</v>
      </c>
      <c r="Q53" s="59">
        <f>ABS(B53-P53)</f>
        <v>654.00103827848943</v>
      </c>
      <c r="R53" s="59">
        <f>(B53-P53)^2</f>
        <v>427717.35806934221</v>
      </c>
      <c r="S53" s="75"/>
      <c r="T53" s="12"/>
      <c r="V53" s="11">
        <f t="shared" si="2"/>
        <v>61010.356911223236</v>
      </c>
      <c r="W53" s="75">
        <f t="shared" si="0"/>
        <v>558.64308877676376</v>
      </c>
      <c r="X53" s="75">
        <f t="shared" si="1"/>
        <v>312082.10063804314</v>
      </c>
      <c r="Y53" s="75"/>
      <c r="Z53" s="12"/>
      <c r="AO53" s="45" t="s">
        <v>131</v>
      </c>
      <c r="AP53" s="45">
        <v>2024</v>
      </c>
      <c r="AQ53" s="2">
        <f t="shared" si="9"/>
        <v>50</v>
      </c>
      <c r="AR53" s="17">
        <v>61569</v>
      </c>
      <c r="AV53">
        <f t="shared" si="3"/>
        <v>0.91190964756053527</v>
      </c>
      <c r="AW53">
        <f>AR53/AV53</f>
        <v>67516.557330766547</v>
      </c>
      <c r="AX53">
        <f>$AC$19+$AC$20*AQ53</f>
        <v>68762.698823529412</v>
      </c>
      <c r="AY53">
        <f>AV53*AX53</f>
        <v>62705.368449475936</v>
      </c>
    </row>
    <row r="54" spans="1:53" x14ac:dyDescent="0.2">
      <c r="A54" s="111">
        <v>51</v>
      </c>
      <c r="B54" s="12"/>
      <c r="D54" s="58"/>
      <c r="E54" s="59"/>
      <c r="F54" s="60"/>
      <c r="H54" s="58"/>
      <c r="I54" s="59"/>
      <c r="J54" s="60"/>
      <c r="L54" s="108">
        <f t="shared" si="22"/>
        <v>65589.5</v>
      </c>
      <c r="M54" s="109" t="s">
        <v>143</v>
      </c>
      <c r="N54" s="57"/>
      <c r="AO54" s="47" t="s">
        <v>132</v>
      </c>
      <c r="AP54" s="47">
        <v>2024</v>
      </c>
      <c r="AQ54" s="48">
        <f t="shared" si="9"/>
        <v>51</v>
      </c>
      <c r="AR54" s="49"/>
      <c r="AS54" s="49"/>
      <c r="AT54" s="49"/>
      <c r="AU54" s="49"/>
      <c r="AV54" s="49">
        <f t="shared" si="3"/>
        <v>1.0135546225959615</v>
      </c>
      <c r="AW54" s="49"/>
      <c r="AX54" s="49">
        <f t="shared" si="5"/>
        <v>70053.813877551031</v>
      </c>
      <c r="AY54" s="3">
        <f>AV54*AX54</f>
        <v>71003.366886068965</v>
      </c>
      <c r="AZ54" s="118" t="s">
        <v>137</v>
      </c>
      <c r="BA54" s="117">
        <f>AY54</f>
        <v>71003.366886068965</v>
      </c>
    </row>
    <row r="55" spans="1:53" x14ac:dyDescent="0.2">
      <c r="L55" s="55">
        <v>67601</v>
      </c>
      <c r="M55" s="109" t="s">
        <v>144</v>
      </c>
      <c r="N55" s="57"/>
      <c r="AZ55" s="119" t="s">
        <v>139</v>
      </c>
      <c r="BA55" s="120">
        <v>67601</v>
      </c>
    </row>
    <row r="56" spans="1:53" x14ac:dyDescent="0.2">
      <c r="L56" s="55">
        <f>L55-L54</f>
        <v>2011.5</v>
      </c>
      <c r="M56" s="109" t="s">
        <v>152</v>
      </c>
      <c r="N56" s="57"/>
      <c r="AZ56" s="119" t="s">
        <v>153</v>
      </c>
      <c r="BA56" s="121">
        <f>AY54-BA55</f>
        <v>3402.366886068965</v>
      </c>
    </row>
    <row r="57" spans="1:53" ht="16" thickBot="1" x14ac:dyDescent="0.25">
      <c r="L57" s="124">
        <f>L56/L55</f>
        <v>2.9755476989985354E-2</v>
      </c>
      <c r="M57" s="110" t="s">
        <v>154</v>
      </c>
      <c r="N57" s="60"/>
      <c r="AZ57" s="122" t="s">
        <v>154</v>
      </c>
      <c r="BA57" s="123">
        <f>BA56/BA55</f>
        <v>5.0330126567195231E-2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AMZN operations</vt:lpstr>
      <vt:lpstr>Net Sales Sub-Categories</vt:lpstr>
      <vt:lpstr>Orders-Transpose</vt:lpstr>
      <vt:lpstr>Forecast-Q32024 Fulfillment</vt:lpstr>
      <vt:lpstr>Forecast-Q32024 Net Prod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 DR</cp:lastModifiedBy>
  <cp:revision/>
  <dcterms:created xsi:type="dcterms:W3CDTF">2024-08-30T17:13:20Z</dcterms:created>
  <dcterms:modified xsi:type="dcterms:W3CDTF">2024-11-17T19:18:59Z</dcterms:modified>
  <cp:category/>
  <cp:contentStatus/>
</cp:coreProperties>
</file>