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ura\Dropbox\KENKAN_Lab\Simulation\basic\"/>
    </mc:Choice>
  </mc:AlternateContent>
  <xr:revisionPtr revIDLastSave="0" documentId="12_ncr:500000_{31EA7789-44DA-438A-B4D3-57746B35B6F3}" xr6:coauthVersionLast="31" xr6:coauthVersionMax="31" xr10:uidLastSave="{00000000-0000-0000-0000-000000000000}"/>
  <bookViews>
    <workbookView xWindow="0" yWindow="0" windowWidth="19200" windowHeight="7725" xr2:uid="{0BB0F8AA-9B0D-4E1C-9FB1-A430A33A2A19}"/>
  </bookViews>
  <sheets>
    <sheet name="貼り付けシート" sheetId="1" r:id="rId1"/>
    <sheet name="飽和水蒸気圧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E13" i="2"/>
  <c r="D13" i="2"/>
  <c r="E9" i="2"/>
  <c r="E8" i="2"/>
  <c r="E14" i="2"/>
  <c r="E12" i="2"/>
  <c r="E11" i="2"/>
  <c r="E10" i="2"/>
  <c r="E7" i="2"/>
  <c r="E6" i="2"/>
  <c r="E5" i="2"/>
  <c r="E4" i="2"/>
  <c r="E3" i="2"/>
  <c r="D14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<sst xmlns="http://schemas.openxmlformats.org/spreadsheetml/2006/main" count="45" uniqueCount="26">
  <si>
    <t>飽和水蒸気圧</t>
    <rPh sb="0" eb="2">
      <t>ホウワ</t>
    </rPh>
    <rPh sb="2" eb="6">
      <t>スイジョウキアツ</t>
    </rPh>
    <phoneticPr fontId="1"/>
  </si>
  <si>
    <t>実測値</t>
    <rPh sb="0" eb="3">
      <t>ジッソクチ</t>
    </rPh>
    <phoneticPr fontId="1"/>
  </si>
  <si>
    <t>（C）</t>
    <phoneticPr fontId="1"/>
  </si>
  <si>
    <t>Aから求まる近似式</t>
    <rPh sb="3" eb="4">
      <t>モト</t>
    </rPh>
    <rPh sb="6" eb="9">
      <t>キンジシキ</t>
    </rPh>
    <phoneticPr fontId="1"/>
  </si>
  <si>
    <t>℃</t>
    <phoneticPr fontId="1"/>
  </si>
  <si>
    <t>温度</t>
    <rPh sb="0" eb="2">
      <t>オンド</t>
    </rPh>
    <phoneticPr fontId="1"/>
  </si>
  <si>
    <t>％</t>
    <phoneticPr fontId="1"/>
  </si>
  <si>
    <t>相対湿度</t>
    <rPh sb="0" eb="2">
      <t>ソウタイ</t>
    </rPh>
    <rPh sb="2" eb="4">
      <t>シツド</t>
    </rPh>
    <phoneticPr fontId="1"/>
  </si>
  <si>
    <t>Pa</t>
    <phoneticPr fontId="1"/>
  </si>
  <si>
    <t>(D)</t>
    <phoneticPr fontId="1"/>
  </si>
  <si>
    <t>(B)</t>
    <phoneticPr fontId="1"/>
  </si>
  <si>
    <t>(A)</t>
    <phoneticPr fontId="1"/>
  </si>
  <si>
    <t>水蒸気圧</t>
    <rPh sb="0" eb="4">
      <t>スイジョウキアツ</t>
    </rPh>
    <phoneticPr fontId="1"/>
  </si>
  <si>
    <t>C×B/100</t>
    <phoneticPr fontId="1"/>
  </si>
  <si>
    <t>水</t>
    <rPh sb="0" eb="1">
      <t>ミズ</t>
    </rPh>
    <phoneticPr fontId="1"/>
  </si>
  <si>
    <t>氷</t>
    <rPh sb="0" eb="1">
      <t>コオリ</t>
    </rPh>
    <phoneticPr fontId="1"/>
  </si>
  <si>
    <t>飽和水蒸気圧の温度微分値</t>
    <rPh sb="0" eb="2">
      <t>ホウワ</t>
    </rPh>
    <rPh sb="2" eb="6">
      <t>スイジョウキアツ</t>
    </rPh>
    <rPh sb="7" eb="9">
      <t>オンド</t>
    </rPh>
    <rPh sb="9" eb="11">
      <t>ビブン</t>
    </rPh>
    <rPh sb="11" eb="12">
      <t>アタイ</t>
    </rPh>
    <phoneticPr fontId="1"/>
  </si>
  <si>
    <t>Pa/K</t>
    <phoneticPr fontId="1"/>
  </si>
  <si>
    <t>WMO (Goff, 1957)</t>
    <phoneticPr fontId="1"/>
  </si>
  <si>
    <t>SONNTAG (JIS Z8806, 1995)</t>
    <phoneticPr fontId="1"/>
  </si>
  <si>
    <t>Wexler-Hyland (1983)</t>
    <phoneticPr fontId="1"/>
  </si>
  <si>
    <t>Tetens (1930)</t>
    <phoneticPr fontId="1"/>
  </si>
  <si>
    <t>Briggs an Sacket (1989)</t>
    <phoneticPr fontId="1"/>
  </si>
  <si>
    <t>Antoine</t>
    <phoneticPr fontId="1"/>
  </si>
  <si>
    <t>Goff Gratch</t>
    <phoneticPr fontId="1"/>
  </si>
  <si>
    <t>諸元：Wexler-Hyland (1983) on water</t>
    <rPh sb="0" eb="2">
      <t>ショゲン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</si>
</sst>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0E733-1C09-4FD9-905D-48FE27F59FFC}">
  <dimension ref="B1:G6"/>
  <sheetViews>
    <sheetView tabSelected="1" workbookViewId="0">
      <selection activeCell="F3" sqref="F3"/>
    </sheetView>
  </sheetViews>
  <sheetFormatPr defaultRowHeight="17.649999999999999" x14ac:dyDescent="0.7"/>
  <cols>
    <col min="1" max="1" width="2.8125" bestFit="1" customWidth="1"/>
    <col min="2" max="2" width="10.0625" bestFit="1" customWidth="1"/>
    <col min="3" max="3" width="12.125" bestFit="1" customWidth="1"/>
    <col min="4" max="4" width="17.0625" bestFit="1" customWidth="1"/>
    <col min="5" max="5" width="20.6875" customWidth="1"/>
    <col min="6" max="6" width="10.875" bestFit="1" customWidth="1"/>
    <col min="7" max="7" width="19.875" bestFit="1" customWidth="1"/>
    <col min="8" max="8" width="8.3125" bestFit="1" customWidth="1"/>
    <col min="9" max="9" width="13.4375" bestFit="1" customWidth="1"/>
    <col min="10" max="10" width="11.9375" bestFit="1" customWidth="1"/>
  </cols>
  <sheetData>
    <row r="1" spans="2:7" x14ac:dyDescent="0.7">
      <c r="B1" t="s">
        <v>11</v>
      </c>
      <c r="C1" t="s">
        <v>10</v>
      </c>
      <c r="D1" t="s">
        <v>2</v>
      </c>
      <c r="E1" t="s">
        <v>9</v>
      </c>
      <c r="G1" t="s">
        <v>25</v>
      </c>
    </row>
    <row r="2" spans="2:7" x14ac:dyDescent="0.7">
      <c r="B2" t="s">
        <v>5</v>
      </c>
      <c r="C2" t="s">
        <v>7</v>
      </c>
      <c r="D2" t="s">
        <v>0</v>
      </c>
      <c r="E2" t="s">
        <v>12</v>
      </c>
    </row>
    <row r="3" spans="2:7" x14ac:dyDescent="0.7">
      <c r="B3" t="s">
        <v>1</v>
      </c>
      <c r="C3" t="s">
        <v>1</v>
      </c>
      <c r="D3" t="s">
        <v>3</v>
      </c>
      <c r="E3" t="s">
        <v>13</v>
      </c>
    </row>
    <row r="4" spans="2:7" x14ac:dyDescent="0.7">
      <c r="B4" t="s">
        <v>4</v>
      </c>
      <c r="C4" t="s">
        <v>6</v>
      </c>
      <c r="D4" t="s">
        <v>8</v>
      </c>
      <c r="E4" t="s">
        <v>8</v>
      </c>
    </row>
    <row r="6" spans="2:7" x14ac:dyDescent="0.7">
      <c r="B6">
        <v>10</v>
      </c>
      <c r="C6">
        <v>50</v>
      </c>
      <c r="D6">
        <f>EXP(-0.58002206*10^4/(B6+273.15)+0.13914993*10-0.48640239*10^(-1)*(B6+273.15)+0.41764768*10^(-4)*(B6+273.15)^2-0.14452093*10^(-7)*(B6+273.15)^3+0.65459673*10*LN(B6+273.15))</f>
        <v>1227.9952754407707</v>
      </c>
      <c r="E6">
        <f>C6*D6/100</f>
        <v>613.99763772038534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5CCB-685F-400C-91F3-2A132E70CF38}">
  <dimension ref="A1:E14"/>
  <sheetViews>
    <sheetView zoomScale="115" zoomScaleNormal="115" workbookViewId="0">
      <selection activeCell="D6" sqref="D6"/>
    </sheetView>
  </sheetViews>
  <sheetFormatPr defaultRowHeight="17.649999999999999" x14ac:dyDescent="0.7"/>
  <cols>
    <col min="1" max="1" width="26" bestFit="1" customWidth="1"/>
    <col min="2" max="2" width="2.8125" bestFit="1" customWidth="1"/>
    <col min="3" max="3" width="6.4375" bestFit="1" customWidth="1"/>
    <col min="4" max="4" width="27.5625" customWidth="1"/>
    <col min="5" max="5" width="26.4375" customWidth="1"/>
    <col min="6" max="6" width="12.4375" bestFit="1" customWidth="1"/>
  </cols>
  <sheetData>
    <row r="1" spans="1:5" x14ac:dyDescent="0.7">
      <c r="C1" t="s">
        <v>5</v>
      </c>
      <c r="D1" t="s">
        <v>0</v>
      </c>
      <c r="E1" t="s">
        <v>16</v>
      </c>
    </row>
    <row r="2" spans="1:5" x14ac:dyDescent="0.7">
      <c r="C2" t="s">
        <v>4</v>
      </c>
      <c r="D2" t="s">
        <v>8</v>
      </c>
      <c r="E2" t="s">
        <v>17</v>
      </c>
    </row>
    <row r="3" spans="1:5" x14ac:dyDescent="0.7">
      <c r="A3" t="s">
        <v>19</v>
      </c>
      <c r="B3" t="s">
        <v>14</v>
      </c>
      <c r="C3">
        <v>100</v>
      </c>
      <c r="D3">
        <f>EXP(-6096.9385/(C3+273.15)+21.2409642-0.02711193*(C3+273.15)+0.00001673952*((C3+273.15)^2)+2.433502*LN(C3+273.15))</f>
        <v>101419.04173564097</v>
      </c>
      <c r="E3">
        <f>EXP(-6096.9385/(C3+273.15)+21.2409642-0.02711193*(C3+273.15)+0.00001673952*((C3+273.15)^2)+2.433502*LN(C3+273.15))*(6096.9385/((C3+273.15)^2)-0.02711193+2*0.00001673952*(C3+273.15)+2.433502/(C3+273.15))</f>
        <v>3619.5703599988142</v>
      </c>
    </row>
    <row r="4" spans="1:5" x14ac:dyDescent="0.7">
      <c r="A4" t="s">
        <v>19</v>
      </c>
      <c r="B4" t="s">
        <v>15</v>
      </c>
      <c r="C4">
        <v>-50</v>
      </c>
      <c r="D4">
        <f>EXP(-6024.5282/(C4+273.15)+29.32707+0.010613863*(C4+273.15)-0.0000131988*((C4+273.15)^2)-0.49382577*LN(C4+273.15))</f>
        <v>3.9357939286771941</v>
      </c>
      <c r="E4">
        <f>EXP(-6024.5282/(C4+273.15)+29.32707+0.010613863*(C4+273.15)-0.0000131988*((C4+273.15)^2)-0.49382577*LN(C4+273.15))*(6024.5282/((C4+273.15)^2)+0.010613863-2*0.0000131988*(C4+273.15)-0.49382577/(C4+273.15))</f>
        <v>0.48604941308614202</v>
      </c>
    </row>
    <row r="5" spans="1:5" x14ac:dyDescent="0.7">
      <c r="A5" t="s">
        <v>18</v>
      </c>
      <c r="C5">
        <v>100</v>
      </c>
      <c r="D5">
        <f>10^(2.78614+10.79574*(1-273.16/(C5+273.15))-5.028*LOG10((C5+273.15)/273.16)+1.50475*10^(-4)*(1-10^(-8.2969*((C5+273.15)/273.16-1)))+0.42873*10^(-3)*(10^(4.76955*(1-273.16/(C5+273.15)))-1))</f>
        <v>101325.1290946011</v>
      </c>
      <c r="E5" s="1">
        <f>10^(2.78614+10.79574*(1-273.16/(C5+273.15))-5.028*LOG10((C5+273.15)/273.16)+1.50475*10^(-4)*(1-10^(-8.2969*((C5+273.15)/273.16-1)))+0.42873*10^(-3)*(10^(4.76955*(1-273.16/(C5+273.15)))-1))*(10.79574*273.16/((C5+273.15)^2)-5.028/LN(10)/(C5+273.15)+1.50475*10^(-4)*8.2969/273.16*LN(10)*10^(-8.2969*((C5+273.15)/273.16-1))+0.42873*10^(-3)*4.76955*273.16/((C5+273.15)^2)*LN(10)*10^(4.76955*(1-273.16/(C5+273.15))))*LN(10)</f>
        <v>3616.8147997018364</v>
      </c>
    </row>
    <row r="6" spans="1:5" x14ac:dyDescent="0.7">
      <c r="A6" t="s">
        <v>20</v>
      </c>
      <c r="B6" t="s">
        <v>14</v>
      </c>
      <c r="C6">
        <v>100</v>
      </c>
      <c r="D6">
        <f>EXP(-0.58002206*10^4/(C6+273.15)+0.13914993*10-0.48640239*10^(-1)*(C6+273.15)+0.41764768*10^(-4)*(C6+273.15)^2-0.14452093*10^(-7)*(C6+273.15)^3+0.65459673*10*LN(C6+273.15))</f>
        <v>101418.71682799164</v>
      </c>
      <c r="E6">
        <f>EXP(-0.58002206*10^4/(C6+273.15)+0.13914993*10-0.48640239*10^(-1)*(C6+273.15)+0.41764768*10^(-4)*(C6+273.15)^2-0.14452093*10^(-7)*(C6+273.15)^3+0.65459673*10*LN(C6+273.15))*(0.58002206*10^4*(C6+273.15)^(-2)-0.48640239*10^(-1)+2*0.41764768*10^(-4)*(C6+273.15)-3*0.14452093*10^(-7)*(C6+273.15)^2+0.65459673*10/(C6+273.15))</f>
        <v>3619.6644205505136</v>
      </c>
    </row>
    <row r="7" spans="1:5" x14ac:dyDescent="0.7">
      <c r="A7" t="s">
        <v>20</v>
      </c>
      <c r="B7" t="s">
        <v>15</v>
      </c>
      <c r="C7">
        <v>0</v>
      </c>
      <c r="D7">
        <f>EXP(-0.56745359*10^4/(C7+273.15)+0.63925247*10-0.9677843*10^(-2)*(C7+273.15)+0.62215701*10^(-6)*(C7+273.15)^2+0.20747825*10^(-8)*(C7+273.15)^3-0.9484024*10^(-12)*(C7+273.15)^4+0.41635019*10*LN(C7+273.15))</f>
        <v>611.15357089076792</v>
      </c>
      <c r="E7">
        <f>EXP(-0.56745359*10^4/(C7+273.15)+0.63925247*10-0.9677843*10^(-2)*(C7+273.15)+0.62215701*10^(-6)*(C7+273.15)^2+0.20747825*10^(-8)*(C7+273.15)^3-0.9484024*10^(-12)*(C7+273.15)^4+0.41635019*10*LN(C7+273.15))*(0.56745359*10^4*(C7+273.15)^(-2)-0.9677843*10^(-2)+2*0.62215701*10^(-6)*(C7+273.15)+3*0.20747825*10^(-8)*(C7+273.15)^2-4*0.9484024*10^(-12)*(C7+273.15)^3+0.41635019*10/(C7+273.15))</f>
        <v>50.32648528533754</v>
      </c>
    </row>
    <row r="8" spans="1:5" x14ac:dyDescent="0.7">
      <c r="A8" t="s">
        <v>21</v>
      </c>
      <c r="B8" t="s">
        <v>14</v>
      </c>
      <c r="C8">
        <v>100</v>
      </c>
      <c r="D8">
        <f>6.1078*10^2*EXP(17.2693882*(C8+273.15-273.16)/(C8+273.15-35.86))</f>
        <v>102157.02724929823</v>
      </c>
      <c r="E8">
        <f>6.1078*10^2*EXP(17.2693882*(C8+273.15-273.16)/(C8+273.15-35.86))*(17.2693882/(C8+273.15-35.86)-17.2693882*(C8+273.15-273.16)/((C8+273.15-35.86)^2))</f>
        <v>3679.8999078287152</v>
      </c>
    </row>
    <row r="9" spans="1:5" x14ac:dyDescent="0.7">
      <c r="A9" t="s">
        <v>21</v>
      </c>
      <c r="B9" t="s">
        <v>15</v>
      </c>
      <c r="C9">
        <v>0</v>
      </c>
      <c r="D9">
        <f>6.1078*10^2*EXP(21.8745584*(C9+273.15-273.16)/(C9+273.15-7.66))</f>
        <v>610.27696635637164</v>
      </c>
      <c r="E9">
        <f>6.1078*10^2*EXP(21.8745584*(C9+273.15-273.16)/(C9+273.15-7.66))*(21.8745584/(C9+273.15-7.66)-21.8745584*(C9+273.15-273.16)/((C9+273.15-7.66)^2))</f>
        <v>50.284537900398256</v>
      </c>
    </row>
    <row r="10" spans="1:5" x14ac:dyDescent="0.7">
      <c r="A10" t="s">
        <v>22</v>
      </c>
      <c r="B10" t="s">
        <v>14</v>
      </c>
      <c r="C10">
        <v>0</v>
      </c>
      <c r="D10">
        <f>EXP(-2313.0338/(C10+273.15)-164.03307+38.053682*LN(C10+273.15)-0.13844344*(C10+273.15)+0.000074465367*(C10+273.15)^2-LN(10))</f>
        <v>613.02714548942504</v>
      </c>
      <c r="E10">
        <f>EXP(-2313.0338/(C10+273.15)-164.03307+38.053682*LN(C10+273.15)-0.13844344*(C10+273.15)+0.000074465367*(C10+273.15)^2-LN(10))*(2313.0338/((C10+273.15)^2)+38.053682/(C10+273.15)-0.13844344+2*0.000074465367*(C10+273.15))</f>
        <v>44.476649677092517</v>
      </c>
    </row>
    <row r="11" spans="1:5" x14ac:dyDescent="0.7">
      <c r="A11" t="s">
        <v>22</v>
      </c>
      <c r="B11" t="s">
        <v>15</v>
      </c>
      <c r="C11">
        <v>-50</v>
      </c>
      <c r="D11">
        <f>EXP(-5631.1206/(C11+273.15)-8.363602+8.2312*LN(C11+273.15)-0.03861449*(C11+273.15)+0.0000277494*(C11+273.15)^2-LN(10))</f>
        <v>3.9636117306672345</v>
      </c>
      <c r="E11">
        <f>EXP(-5631.1206/(C11+273.15)-8.363602+8.2312*LN(C11+273.15)-0.03861449*(C11+273.15)+0.0000277494*(C11+273.15)^2-LN(10))*(5631.1206/((C11+273.15)^2)+8.2312/(C11+273.15)-0.03861449+2*0.0000277494*(C11+273.15))</f>
        <v>0.49045904519462574</v>
      </c>
    </row>
    <row r="12" spans="1:5" x14ac:dyDescent="0.7">
      <c r="A12" t="s">
        <v>23</v>
      </c>
      <c r="C12">
        <v>100</v>
      </c>
      <c r="D12">
        <f>10^(8.02754-1705.616/(C12+231.405))*101325/760</f>
        <v>101349.54807197984</v>
      </c>
      <c r="E12">
        <f>10^(8.02754-1705.616/(C12+231.405))*LN(10)*(1705.616/(C12+231.405)^2)*101325/760</f>
        <v>3624.1040135212065</v>
      </c>
    </row>
    <row r="13" spans="1:5" x14ac:dyDescent="0.7">
      <c r="A13" t="s">
        <v>24</v>
      </c>
      <c r="B13" t="s">
        <v>14</v>
      </c>
      <c r="C13">
        <v>100</v>
      </c>
      <c r="D13">
        <f>10^(-7.90298*(373.15/(C13+273.15)-1)+5.02808*LOG10(373.15/(C13+273.15))-1.3816*10^(-7)*(10^(11.344*(1-(C13+273.15)/373.15))-1)+8.1328*10^(-3)*(10^(-3.49149*(373.15/(C13+273.15)-1))-1)+LOG10(1013.25))*100</f>
        <v>101325.00000000003</v>
      </c>
      <c r="E13">
        <f>10^(-7.90298*(373.15/(C13+273.15)-1)+5.02808*LOG10(373.15/(C13+273.15))-1.3816*10^(-7)*(10^(11.344*(1-(C13+273.15)/373.15))-1)+8.1328*10^(-3)*(10^(-3.49149*(373.15/(C13+273.15)-1))-1)+LOG10(1013.25))*LN(10)*(7.90298*373.15*(C13+273.15)^(-2)-5.02808/(C13+273.15)/LN(10)+1.3816*10^(-7)*LN(10)*10^(11.344*(1-(C13+273.15)/373.15))*11.344/373.15-8.1328*10^(-3)*LN(10)*10^(-3.49149*(373.15/(C13+273.15)-1))*(-3.49149)*373.15*(C13+273.15)^(-2))*100</f>
        <v>3616.8429931247701</v>
      </c>
    </row>
    <row r="14" spans="1:5" x14ac:dyDescent="0.7">
      <c r="A14" t="s">
        <v>24</v>
      </c>
      <c r="B14" t="s">
        <v>15</v>
      </c>
      <c r="C14">
        <v>-50</v>
      </c>
      <c r="D14">
        <f>10^(-9.09718*(273.16/(C14+273.15)-1)-3.56654*LOG10(273.16/(C14+273.15))+0.876793*(1-(C14+273.15)/273.16)+LOG10(6.1173))*100</f>
        <v>3.9364548639253245</v>
      </c>
      <c r="E14">
        <f>10^(-9.09718*(273.16/(C14+273.15)-1)-3.56654*LOG10(273.16/(C14+273.15))+0.876793*(1-(C14+273.15)/273.16)+LOG10(6.1173))*LN(10)*(9.09718*273.16*(C14+273.15)^(-2)+3.56654/LN(10)/(C14+273.15)-0.876793/273.16)*100</f>
        <v>0.4861468559260172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貼り付けシート</vt:lpstr>
      <vt:lpstr>飽和水蒸気圧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Hisashi MIURA</dc:creator>
  <cp:lastModifiedBy>Hisashi MIURA</cp:lastModifiedBy>
  <dcterms:created xsi:type="dcterms:W3CDTF">2018-04-13T06:59:51Z</dcterms:created>
  <dcterms:modified xsi:type="dcterms:W3CDTF">2018-04-17T14:25:47Z</dcterms:modified>
</cp:coreProperties>
</file>