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合計" sheetId="4" r:id="rId1"/>
    <sheet name="不透明部位（窓以外・戸を含む）" sheetId="1" r:id="rId2"/>
    <sheet name="透明部位（窓）" sheetId="3" r:id="rId3"/>
    <sheet name="地盤熱橋" sheetId="2" r:id="rId4"/>
    <sheet name="断面構成リスト" sheetId="6" r:id="rId5"/>
    <sheet name="断面構成詳細" sheetId="5" r:id="rId6"/>
    <sheet name="日除け効果係数" sheetId="7" r:id="rId7"/>
  </sheets>
  <definedNames>
    <definedName name="_xlnm._FilterDatabase" localSheetId="1" hidden="1">'不透明部位（窓以外・戸を含む）'!$C$2:$C$54</definedName>
    <definedName name="_xlnm.Print_Area" localSheetId="0">合計!$A$1:$I$21</definedName>
    <definedName name="_xlnm.Print_Area" localSheetId="1">'不透明部位（窓以外・戸を含む）'!$A$1:$AE$54</definedName>
    <definedName name="物性">断面構成リスト!#REF!</definedName>
  </definedNames>
  <calcPr calcId="152511" calcMode="manual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B7" i="5"/>
  <c r="B20" i="5"/>
  <c r="B33" i="5"/>
  <c r="B46" i="5"/>
  <c r="B59" i="5"/>
  <c r="B72" i="5"/>
  <c r="B85" i="5"/>
  <c r="B98" i="5"/>
  <c r="B111" i="5"/>
  <c r="B124" i="5"/>
  <c r="B137" i="5"/>
  <c r="B150" i="5"/>
  <c r="B163" i="5"/>
  <c r="B176" i="5"/>
  <c r="B189" i="5"/>
  <c r="K198" i="5"/>
  <c r="F198" i="5"/>
  <c r="K185" i="5"/>
  <c r="F185" i="5"/>
  <c r="K172" i="5"/>
  <c r="F172" i="5"/>
  <c r="K159" i="5"/>
  <c r="F159" i="5"/>
  <c r="K146" i="5"/>
  <c r="F146" i="5"/>
  <c r="K133" i="5"/>
  <c r="F133" i="5"/>
  <c r="K120" i="5"/>
  <c r="F120" i="5"/>
  <c r="K107" i="5"/>
  <c r="F107" i="5"/>
  <c r="K94" i="5"/>
  <c r="F94" i="5"/>
  <c r="K81" i="5"/>
  <c r="F81" i="5"/>
  <c r="K68" i="5"/>
  <c r="F68" i="5"/>
  <c r="K55" i="5"/>
  <c r="F55" i="5"/>
  <c r="K42" i="5"/>
  <c r="F42" i="5"/>
  <c r="K29" i="5"/>
  <c r="F29" i="5"/>
  <c r="K16" i="5"/>
  <c r="F16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2" i="6"/>
  <c r="I124" i="5"/>
  <c r="K197" i="5"/>
  <c r="F197" i="5"/>
  <c r="K184" i="5"/>
  <c r="F184" i="5"/>
  <c r="K171" i="5"/>
  <c r="F171" i="5"/>
  <c r="F158" i="5"/>
  <c r="K158" i="5"/>
  <c r="K145" i="5"/>
  <c r="I136" i="5"/>
  <c r="F145" i="5" s="1"/>
  <c r="K132" i="5"/>
  <c r="I123" i="5"/>
  <c r="F132" i="5" s="1"/>
  <c r="K119" i="5"/>
  <c r="I110" i="5"/>
  <c r="F119" i="5" s="1"/>
  <c r="K106" i="5"/>
  <c r="I97" i="5"/>
  <c r="F106" i="5" s="1"/>
  <c r="K93" i="5"/>
  <c r="I84" i="5"/>
  <c r="F93" i="5" s="1"/>
  <c r="N71" i="5"/>
  <c r="K80" i="5" s="1"/>
  <c r="I71" i="5"/>
  <c r="F80" i="5" s="1"/>
  <c r="N58" i="5"/>
  <c r="K67" i="5" s="1"/>
  <c r="I58" i="5"/>
  <c r="F67" i="5" s="1"/>
  <c r="N45" i="5"/>
  <c r="K54" i="5" s="1"/>
  <c r="I45" i="5"/>
  <c r="F54" i="5" s="1"/>
  <c r="F41" i="5"/>
  <c r="N32" i="5"/>
  <c r="K41" i="5" s="1"/>
  <c r="I32" i="5"/>
  <c r="N19" i="5"/>
  <c r="K28" i="5" s="1"/>
  <c r="I19" i="5"/>
  <c r="F28" i="5" s="1"/>
  <c r="N6" i="5"/>
  <c r="K15" i="5" s="1"/>
  <c r="I6" i="5"/>
  <c r="F15" i="5" s="1"/>
  <c r="H6" i="4" l="1"/>
  <c r="G37" i="3"/>
  <c r="G55" i="1"/>
  <c r="E6" i="4"/>
  <c r="G54" i="1"/>
  <c r="J20" i="2"/>
  <c r="B6" i="4"/>
  <c r="J8" i="2"/>
  <c r="J9" i="2"/>
  <c r="J7" i="2"/>
  <c r="K37" i="3"/>
  <c r="K8" i="3"/>
  <c r="K9" i="3"/>
  <c r="K10" i="3"/>
  <c r="K11" i="3"/>
  <c r="K12" i="3"/>
  <c r="K13" i="3"/>
  <c r="K14" i="3"/>
  <c r="K15" i="3"/>
  <c r="K7" i="3"/>
  <c r="G8" i="3"/>
  <c r="G9" i="3"/>
  <c r="G10" i="3"/>
  <c r="G11" i="3"/>
  <c r="G12" i="3"/>
  <c r="G13" i="3"/>
  <c r="G14" i="3"/>
  <c r="G15" i="3"/>
  <c r="G7" i="3"/>
  <c r="N54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H6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6" i="1"/>
  <c r="G20" i="1" l="1"/>
  <c r="J20" i="1" s="1"/>
  <c r="N20" i="1" s="1"/>
  <c r="D20" i="1"/>
  <c r="D19" i="1"/>
  <c r="F15" i="1"/>
  <c r="J6" i="2" l="1"/>
  <c r="K6" i="3"/>
  <c r="G6" i="3"/>
  <c r="D15" i="3" l="1"/>
  <c r="D14" i="3"/>
  <c r="D13" i="3"/>
  <c r="D12" i="3"/>
  <c r="D11" i="3"/>
  <c r="D10" i="3"/>
  <c r="D9" i="3"/>
  <c r="D8" i="3"/>
  <c r="D7" i="3"/>
  <c r="D6" i="3"/>
  <c r="F9" i="2"/>
  <c r="F8" i="2"/>
  <c r="F6" i="2"/>
  <c r="E51" i="1"/>
  <c r="D50" i="1"/>
  <c r="E49" i="1"/>
  <c r="D49" i="1"/>
  <c r="G52" i="1"/>
  <c r="J52" i="1" s="1"/>
  <c r="N52" i="1" s="1"/>
  <c r="G49" i="1"/>
  <c r="J49" i="1" s="1"/>
  <c r="N49" i="1" s="1"/>
  <c r="D48" i="1"/>
  <c r="G47" i="1"/>
  <c r="J47" i="1" s="1"/>
  <c r="N47" i="1" s="1"/>
  <c r="G48" i="1"/>
  <c r="J48" i="1" s="1"/>
  <c r="N48" i="1" s="1"/>
  <c r="G50" i="1"/>
  <c r="J50" i="1" s="1"/>
  <c r="N50" i="1" s="1"/>
  <c r="G51" i="1"/>
  <c r="J51" i="1" s="1"/>
  <c r="N51" i="1" s="1"/>
  <c r="D47" i="1"/>
  <c r="G46" i="1"/>
  <c r="J46" i="1" s="1"/>
  <c r="N46" i="1" s="1"/>
  <c r="E46" i="1"/>
  <c r="G45" i="1"/>
  <c r="J45" i="1" s="1"/>
  <c r="N45" i="1" s="1"/>
  <c r="D45" i="1"/>
  <c r="G43" i="1"/>
  <c r="J43" i="1" s="1"/>
  <c r="N43" i="1" s="1"/>
  <c r="G44" i="1"/>
  <c r="J44" i="1" s="1"/>
  <c r="N44" i="1" s="1"/>
  <c r="G41" i="1"/>
  <c r="J41" i="1" s="1"/>
  <c r="N41" i="1" s="1"/>
  <c r="G42" i="1"/>
  <c r="J42" i="1" s="1"/>
  <c r="N42" i="1" s="1"/>
  <c r="G40" i="1"/>
  <c r="J40" i="1" s="1"/>
  <c r="N40" i="1" s="1"/>
  <c r="D40" i="1"/>
  <c r="G19" i="1"/>
  <c r="J19" i="1" s="1"/>
  <c r="N19" i="1" s="1"/>
  <c r="F21" i="1"/>
  <c r="G21" i="1" s="1"/>
  <c r="J21" i="1" s="1"/>
  <c r="N21" i="1" s="1"/>
  <c r="G18" i="1"/>
  <c r="J18" i="1" s="1"/>
  <c r="N18" i="1" s="1"/>
  <c r="G39" i="1"/>
  <c r="J39" i="1" s="1"/>
  <c r="N39" i="1" s="1"/>
  <c r="F39" i="1"/>
  <c r="G38" i="1"/>
  <c r="J38" i="1" s="1"/>
  <c r="N38" i="1" s="1"/>
  <c r="G37" i="1"/>
  <c r="J37" i="1" s="1"/>
  <c r="N37" i="1" s="1"/>
  <c r="D37" i="1"/>
  <c r="G36" i="1"/>
  <c r="J36" i="1" s="1"/>
  <c r="N36" i="1" s="1"/>
  <c r="F36" i="1"/>
  <c r="G35" i="1"/>
  <c r="J35" i="1" s="1"/>
  <c r="N35" i="1" s="1"/>
  <c r="G34" i="1"/>
  <c r="J34" i="1" s="1"/>
  <c r="N34" i="1" s="1"/>
  <c r="F34" i="1"/>
  <c r="G32" i="1"/>
  <c r="J32" i="1" s="1"/>
  <c r="N32" i="1" s="1"/>
  <c r="G33" i="1"/>
  <c r="J33" i="1" s="1"/>
  <c r="N33" i="1" s="1"/>
  <c r="E32" i="1"/>
  <c r="G28" i="1"/>
  <c r="J28" i="1" s="1"/>
  <c r="N28" i="1" s="1"/>
  <c r="G29" i="1"/>
  <c r="J29" i="1" s="1"/>
  <c r="N29" i="1" s="1"/>
  <c r="G30" i="1"/>
  <c r="J30" i="1" s="1"/>
  <c r="N30" i="1" s="1"/>
  <c r="G31" i="1"/>
  <c r="J31" i="1" s="1"/>
  <c r="N31" i="1" s="1"/>
  <c r="G27" i="1"/>
  <c r="J27" i="1" s="1"/>
  <c r="N27" i="1" s="1"/>
  <c r="G26" i="1"/>
  <c r="J26" i="1" s="1"/>
  <c r="N26" i="1" s="1"/>
  <c r="E26" i="1"/>
  <c r="G25" i="1"/>
  <c r="J25" i="1" s="1"/>
  <c r="N25" i="1" s="1"/>
  <c r="F25" i="1"/>
  <c r="F6" i="1"/>
  <c r="G6" i="1" s="1"/>
  <c r="J6" i="1" s="1"/>
  <c r="N6" i="1" s="1"/>
  <c r="G8" i="1"/>
  <c r="J8" i="1" s="1"/>
  <c r="N8" i="1" s="1"/>
  <c r="G24" i="1"/>
  <c r="J24" i="1" s="1"/>
  <c r="N24" i="1" s="1"/>
  <c r="F24" i="1"/>
  <c r="E24" i="1"/>
  <c r="G23" i="1"/>
  <c r="J23" i="1" s="1"/>
  <c r="N23" i="1" s="1"/>
  <c r="F23" i="1"/>
  <c r="G22" i="1"/>
  <c r="J22" i="1" s="1"/>
  <c r="N22" i="1" s="1"/>
  <c r="D22" i="1"/>
  <c r="G17" i="1"/>
  <c r="J17" i="1" s="1"/>
  <c r="N17" i="1" s="1"/>
  <c r="F17" i="1"/>
  <c r="E17" i="1"/>
  <c r="G16" i="1"/>
  <c r="J16" i="1" s="1"/>
  <c r="N16" i="1" s="1"/>
  <c r="E16" i="1"/>
  <c r="D16" i="1"/>
  <c r="G15" i="1"/>
  <c r="J15" i="1" s="1"/>
  <c r="N15" i="1" s="1"/>
  <c r="E15" i="1"/>
  <c r="G14" i="1"/>
  <c r="J14" i="1" s="1"/>
  <c r="N14" i="1" s="1"/>
  <c r="E14" i="1"/>
  <c r="G13" i="1"/>
  <c r="J13" i="1" s="1"/>
  <c r="N13" i="1" s="1"/>
  <c r="G12" i="1"/>
  <c r="J12" i="1" s="1"/>
  <c r="N12" i="1" s="1"/>
  <c r="G11" i="1"/>
  <c r="J11" i="1" s="1"/>
  <c r="N11" i="1" s="1"/>
  <c r="G10" i="1"/>
  <c r="J10" i="1" s="1"/>
  <c r="N10" i="1" s="1"/>
  <c r="G7" i="1"/>
  <c r="J7" i="1" s="1"/>
  <c r="N7" i="1" s="1"/>
  <c r="G9" i="1"/>
  <c r="J9" i="1" s="1"/>
  <c r="N9" i="1" s="1"/>
</calcChain>
</file>

<file path=xl/sharedStrings.xml><?xml version="1.0" encoding="utf-8"?>
<sst xmlns="http://schemas.openxmlformats.org/spreadsheetml/2006/main" count="1280" uniqueCount="215">
  <si>
    <t>壁の名称</t>
    <rPh sb="0" eb="1">
      <t>カベ</t>
    </rPh>
    <rPh sb="2" eb="4">
      <t>メイショウ</t>
    </rPh>
    <phoneticPr fontId="2"/>
  </si>
  <si>
    <t>×</t>
    <phoneticPr fontId="2"/>
  </si>
  <si>
    <t>＝</t>
    <phoneticPr fontId="2"/>
  </si>
  <si>
    <t>不透明な部位（壁・屋根・天井・床・戸）</t>
    <rPh sb="0" eb="3">
      <t>フトウメイ</t>
    </rPh>
    <rPh sb="4" eb="6">
      <t>ブイ</t>
    </rPh>
    <rPh sb="7" eb="8">
      <t>カベ</t>
    </rPh>
    <rPh sb="9" eb="11">
      <t>ヤネ</t>
    </rPh>
    <rPh sb="12" eb="14">
      <t>テンジョウ</t>
    </rPh>
    <rPh sb="15" eb="16">
      <t>ユカ</t>
    </rPh>
    <rPh sb="17" eb="18">
      <t>ト</t>
    </rPh>
    <phoneticPr fontId="2"/>
  </si>
  <si>
    <t>方位</t>
    <rPh sb="0" eb="2">
      <t>ホウイ</t>
    </rPh>
    <phoneticPr fontId="2"/>
  </si>
  <si>
    <t>地盤</t>
    <rPh sb="0" eb="2">
      <t>ジバン</t>
    </rPh>
    <phoneticPr fontId="2"/>
  </si>
  <si>
    <t>基礎・地盤の名称</t>
    <rPh sb="0" eb="2">
      <t>キソ</t>
    </rPh>
    <rPh sb="3" eb="5">
      <t>ジバン</t>
    </rPh>
    <rPh sb="6" eb="8">
      <t>メイショウ</t>
    </rPh>
    <phoneticPr fontId="2"/>
  </si>
  <si>
    <t>断熱構成の名称</t>
    <rPh sb="0" eb="2">
      <t>ダンネツ</t>
    </rPh>
    <rPh sb="2" eb="4">
      <t>コウセイ</t>
    </rPh>
    <rPh sb="5" eb="7">
      <t>メイショウ</t>
    </rPh>
    <phoneticPr fontId="2"/>
  </si>
  <si>
    <t>透明な部位（窓）</t>
    <rPh sb="0" eb="2">
      <t>トウメイ</t>
    </rPh>
    <rPh sb="3" eb="5">
      <t>ブイ</t>
    </rPh>
    <rPh sb="6" eb="7">
      <t>マド</t>
    </rPh>
    <phoneticPr fontId="2"/>
  </si>
  <si>
    <t>窓の名称</t>
    <rPh sb="0" eb="1">
      <t>マド</t>
    </rPh>
    <rPh sb="2" eb="4">
      <t>メイショウ</t>
    </rPh>
    <phoneticPr fontId="2"/>
  </si>
  <si>
    <t>窓の種類（枠・ガラス）</t>
    <rPh sb="0" eb="1">
      <t>マド</t>
    </rPh>
    <rPh sb="2" eb="4">
      <t>シュルイ</t>
    </rPh>
    <rPh sb="5" eb="6">
      <t>ワク</t>
    </rPh>
    <phoneticPr fontId="2"/>
  </si>
  <si>
    <t>q値の合計</t>
    <rPh sb="1" eb="2">
      <t>チ</t>
    </rPh>
    <rPh sb="3" eb="5">
      <t>ゴウケイ</t>
    </rPh>
    <phoneticPr fontId="2"/>
  </si>
  <si>
    <t>mH値の合計</t>
    <rPh sb="2" eb="3">
      <t>アタイ</t>
    </rPh>
    <rPh sb="4" eb="6">
      <t>ゴウケイ</t>
    </rPh>
    <phoneticPr fontId="2"/>
  </si>
  <si>
    <t>mC値の合計</t>
    <rPh sb="2" eb="3">
      <t>アタイ</t>
    </rPh>
    <rPh sb="4" eb="6">
      <t>ゴウケイ</t>
    </rPh>
    <phoneticPr fontId="2"/>
  </si>
  <si>
    <t>(W/K)</t>
    <phoneticPr fontId="2"/>
  </si>
  <si>
    <t>(W/(W/m2))</t>
    <phoneticPr fontId="2"/>
  </si>
  <si>
    <t>Q値</t>
    <rPh sb="1" eb="2">
      <t>アタイ</t>
    </rPh>
    <phoneticPr fontId="2"/>
  </si>
  <si>
    <t>外皮の表面積の合計</t>
    <rPh sb="0" eb="2">
      <t>ガイヒ</t>
    </rPh>
    <rPh sb="3" eb="6">
      <t>ヒョウメンセキ</t>
    </rPh>
    <rPh sb="7" eb="9">
      <t>ゴウケイ</t>
    </rPh>
    <phoneticPr fontId="2"/>
  </si>
  <si>
    <t>床面積の合計</t>
    <rPh sb="0" eb="3">
      <t>ユカメンセキ</t>
    </rPh>
    <rPh sb="4" eb="6">
      <t>ゴウケイ</t>
    </rPh>
    <phoneticPr fontId="2"/>
  </si>
  <si>
    <t>(m2)</t>
    <phoneticPr fontId="2"/>
  </si>
  <si>
    <t>μH値</t>
    <rPh sb="2" eb="3">
      <t>アタイ</t>
    </rPh>
    <phoneticPr fontId="2"/>
  </si>
  <si>
    <t>μC値</t>
    <rPh sb="2" eb="3">
      <t>アタイ</t>
    </rPh>
    <phoneticPr fontId="2"/>
  </si>
  <si>
    <t>(W/m2K)</t>
    <phoneticPr fontId="2"/>
  </si>
  <si>
    <t>(-)</t>
    <phoneticPr fontId="2"/>
  </si>
  <si>
    <t>ηH値</t>
    <rPh sb="2" eb="3">
      <t>アタイ</t>
    </rPh>
    <phoneticPr fontId="2"/>
  </si>
  <si>
    <t>ηC値</t>
    <rPh sb="2" eb="3">
      <t>アタイ</t>
    </rPh>
    <phoneticPr fontId="2"/>
  </si>
  <si>
    <t>※WEBプログラムにはこの値を入力する</t>
    <rPh sb="13" eb="14">
      <t>アタイ</t>
    </rPh>
    <rPh sb="15" eb="17">
      <t>ニュウリョク</t>
    </rPh>
    <phoneticPr fontId="2"/>
  </si>
  <si>
    <t>※省エネ基準における外皮の判定に必要</t>
    <rPh sb="1" eb="2">
      <t>ショウ</t>
    </rPh>
    <rPh sb="4" eb="6">
      <t>キジュン</t>
    </rPh>
    <rPh sb="10" eb="12">
      <t>ガイヒ</t>
    </rPh>
    <rPh sb="13" eb="15">
      <t>ハンテイ</t>
    </rPh>
    <rPh sb="16" eb="18">
      <t>ヒツヨウ</t>
    </rPh>
    <phoneticPr fontId="2"/>
  </si>
  <si>
    <t>壁体構成の
名称</t>
    <rPh sb="0" eb="2">
      <t>ヘキタイ</t>
    </rPh>
    <rPh sb="2" eb="4">
      <t>コウセイ</t>
    </rPh>
    <rPh sb="6" eb="8">
      <t>メイショウ</t>
    </rPh>
    <phoneticPr fontId="2"/>
  </si>
  <si>
    <t>住宅・住戸名</t>
    <rPh sb="0" eb="2">
      <t>ジュウタク</t>
    </rPh>
    <rPh sb="3" eb="5">
      <t>ジュウコ</t>
    </rPh>
    <rPh sb="5" eb="6">
      <t>メイ</t>
    </rPh>
    <phoneticPr fontId="2"/>
  </si>
  <si>
    <t>全体</t>
    <rPh sb="0" eb="2">
      <t>ゼンタイ</t>
    </rPh>
    <phoneticPr fontId="2"/>
  </si>
  <si>
    <t>面積に関すること</t>
    <rPh sb="0" eb="2">
      <t>メンセキ</t>
    </rPh>
    <rPh sb="3" eb="4">
      <t>カン</t>
    </rPh>
    <phoneticPr fontId="2"/>
  </si>
  <si>
    <r>
      <t xml:space="preserve">①長さ１（ｍ）
</t>
    </r>
    <r>
      <rPr>
        <sz val="8"/>
        <color theme="1"/>
        <rFont val="Meiryo UI"/>
        <family val="3"/>
        <charset val="128"/>
      </rPr>
      <t>（壁の場合は水平方向）</t>
    </r>
    <rPh sb="1" eb="2">
      <t>ナガ</t>
    </rPh>
    <rPh sb="9" eb="10">
      <t>カベ</t>
    </rPh>
    <rPh sb="11" eb="13">
      <t>バアイ</t>
    </rPh>
    <rPh sb="14" eb="18">
      <t>スイヘイホウコウ</t>
    </rPh>
    <phoneticPr fontId="2"/>
  </si>
  <si>
    <r>
      <t xml:space="preserve">②長さ２（ｍ）
</t>
    </r>
    <r>
      <rPr>
        <sz val="8"/>
        <color theme="1"/>
        <rFont val="Meiryo UI"/>
        <family val="3"/>
        <charset val="128"/>
      </rPr>
      <t>（壁の場合は鉛直方向）</t>
    </r>
    <rPh sb="1" eb="2">
      <t>ナガ</t>
    </rPh>
    <rPh sb="9" eb="10">
      <t>カベ</t>
    </rPh>
    <rPh sb="11" eb="13">
      <t>バアイ</t>
    </rPh>
    <rPh sb="14" eb="16">
      <t>エンチョク</t>
    </rPh>
    <rPh sb="16" eb="18">
      <t>ホウコウ</t>
    </rPh>
    <phoneticPr fontId="2"/>
  </si>
  <si>
    <t>q値の計算に関すること</t>
    <rPh sb="1" eb="2">
      <t>アタイ</t>
    </rPh>
    <rPh sb="3" eb="5">
      <t>ケイサン</t>
    </rPh>
    <rPh sb="6" eb="7">
      <t>カン</t>
    </rPh>
    <phoneticPr fontId="2"/>
  </si>
  <si>
    <t>図面からひろう</t>
    <rPh sb="0" eb="2">
      <t>ズメン</t>
    </rPh>
    <phoneticPr fontId="2"/>
  </si>
  <si>
    <t>①×②－③</t>
    <phoneticPr fontId="2"/>
  </si>
  <si>
    <r>
      <t>④壁の面積
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2">
      <t>カベ</t>
    </rPh>
    <rPh sb="3" eb="5">
      <t>メンセキ</t>
    </rPh>
    <phoneticPr fontId="2"/>
  </si>
  <si>
    <t>計算する</t>
    <rPh sb="0" eb="2">
      <t>ケイサン</t>
    </rPh>
    <phoneticPr fontId="2"/>
  </si>
  <si>
    <t>④</t>
    <phoneticPr fontId="2"/>
  </si>
  <si>
    <t>図面から</t>
    <rPh sb="0" eb="2">
      <t>ズメン</t>
    </rPh>
    <phoneticPr fontId="2"/>
  </si>
  <si>
    <t>⑦温度差係数
（H）</t>
    <rPh sb="1" eb="4">
      <t>オンドサ</t>
    </rPh>
    <rPh sb="4" eb="6">
      <t>ケイスウ</t>
    </rPh>
    <phoneticPr fontId="2"/>
  </si>
  <si>
    <t>⑧ｑ値
（W/K)</t>
    <rPh sb="2" eb="3">
      <t>アタイ</t>
    </rPh>
    <phoneticPr fontId="2"/>
  </si>
  <si>
    <t>⑤×⑥×⑦</t>
    <phoneticPr fontId="2"/>
  </si>
  <si>
    <t>mH値の計算に関すること</t>
    <rPh sb="2" eb="3">
      <t>アタイ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</si>
  <si>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</si>
  <si>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⑤×0.034</t>
    <phoneticPr fontId="2"/>
  </si>
  <si>
    <t>④</t>
    <phoneticPr fontId="2"/>
  </si>
  <si>
    <t>⑨η値</t>
    <rPh sb="2" eb="3">
      <t>チ</t>
    </rPh>
    <phoneticPr fontId="2"/>
  </si>
  <si>
    <t>⑪方位係数
（ν）</t>
    <rPh sb="1" eb="3">
      <t>ホウイ</t>
    </rPh>
    <rPh sb="3" eb="5">
      <t>ケイスウ</t>
    </rPh>
    <phoneticPr fontId="2"/>
  </si>
  <si>
    <t>⑨×⑩×⑪</t>
    <phoneticPr fontId="2"/>
  </si>
  <si>
    <t>mC値の計算に関すること</t>
    <rPh sb="2" eb="3">
      <t>アタイ</t>
    </rPh>
    <rPh sb="4" eb="6">
      <t>ケイサン</t>
    </rPh>
    <rPh sb="7" eb="8">
      <t>カン</t>
    </rPh>
    <phoneticPr fontId="2"/>
  </si>
  <si>
    <t>⑬η値</t>
    <rPh sb="2" eb="3">
      <t>チ</t>
    </rPh>
    <phoneticPr fontId="2"/>
  </si>
  <si>
    <t>⑮方位係数
（ν）</t>
    <rPh sb="1" eb="3">
      <t>ホウイ</t>
    </rPh>
    <rPh sb="3" eb="5">
      <t>ケイスウ</t>
    </rPh>
    <phoneticPr fontId="2"/>
  </si>
  <si>
    <t>④</t>
    <phoneticPr fontId="2"/>
  </si>
  <si>
    <t>方位から</t>
    <rPh sb="0" eb="2">
      <t>ホウイ</t>
    </rPh>
    <phoneticPr fontId="2"/>
  </si>
  <si>
    <t>⑬×⑭×⑮</t>
    <phoneticPr fontId="2"/>
  </si>
  <si>
    <t>面積に関すること</t>
    <rPh sb="0" eb="2">
      <t>メンセキ</t>
    </rPh>
    <rPh sb="3" eb="4">
      <t>カン</t>
    </rPh>
    <phoneticPr fontId="2"/>
  </si>
  <si>
    <t>ｑ値の計算に関すること</t>
    <rPh sb="1" eb="2">
      <t>アタイ</t>
    </rPh>
    <rPh sb="3" eb="5">
      <t>ケイサン</t>
    </rPh>
    <rPh sb="6" eb="7">
      <t>カン</t>
    </rPh>
    <phoneticPr fontId="2"/>
  </si>
  <si>
    <t>計算する</t>
    <rPh sb="0" eb="2">
      <t>ケイサン</t>
    </rPh>
    <phoneticPr fontId="2"/>
  </si>
  <si>
    <r>
      <t>①面積（m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</si>
  <si>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②U値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</si>
  <si>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③面積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</si>
  <si>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①</t>
    <phoneticPr fontId="2"/>
  </si>
  <si>
    <t>図面から</t>
    <rPh sb="0" eb="2">
      <t>ズメン</t>
    </rPh>
    <phoneticPr fontId="2"/>
  </si>
  <si>
    <t>④温度差係数
（H）</t>
    <rPh sb="1" eb="4">
      <t>オンドサ</t>
    </rPh>
    <rPh sb="4" eb="6">
      <t>ケイスウ</t>
    </rPh>
    <phoneticPr fontId="2"/>
  </si>
  <si>
    <t>②×③×④</t>
    <phoneticPr fontId="2"/>
  </si>
  <si>
    <t>⑤ｑ値
（W/K)</t>
    <rPh sb="2" eb="3">
      <t>アタイ</t>
    </rPh>
    <phoneticPr fontId="2"/>
  </si>
  <si>
    <t>mH値の計算に関すること</t>
    <rPh sb="2" eb="3">
      <t>チ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</si>
  <si>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</si>
  <si>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仕様から</t>
    <rPh sb="0" eb="2">
      <t>シヨウ</t>
    </rPh>
    <phoneticPr fontId="2"/>
  </si>
  <si>
    <t>⑥ηd値</t>
    <rPh sb="3" eb="4">
      <t>チ</t>
    </rPh>
    <phoneticPr fontId="2"/>
  </si>
  <si>
    <t>⑦日除け
（ｆ）</t>
    <rPh sb="1" eb="3">
      <t>ヒヨ</t>
    </rPh>
    <phoneticPr fontId="2"/>
  </si>
  <si>
    <t>①</t>
    <phoneticPr fontId="2"/>
  </si>
  <si>
    <t>⑨方位係数
（ν）</t>
    <rPh sb="1" eb="3">
      <t>ホウイ</t>
    </rPh>
    <rPh sb="3" eb="5">
      <t>ケイスウ</t>
    </rPh>
    <phoneticPr fontId="2"/>
  </si>
  <si>
    <t>「方位」から</t>
    <rPh sb="1" eb="3">
      <t>ホウイ</t>
    </rPh>
    <phoneticPr fontId="2"/>
  </si>
  <si>
    <t>⑥×⑦×⑧×⑨</t>
    <phoneticPr fontId="2"/>
  </si>
  <si>
    <t>mC値の計算に関すること</t>
    <rPh sb="2" eb="3">
      <t>チ</t>
    </rPh>
    <rPh sb="4" eb="6">
      <t>ケイサン</t>
    </rPh>
    <rPh sb="7" eb="8">
      <t>カン</t>
    </rPh>
    <phoneticPr fontId="2"/>
  </si>
  <si>
    <t>⑪ηd値</t>
    <rPh sb="3" eb="4">
      <t>チ</t>
    </rPh>
    <phoneticPr fontId="2"/>
  </si>
  <si>
    <t>⑫日除け
（ｆ）</t>
    <rPh sb="1" eb="3">
      <t>ヒヨ</t>
    </rPh>
    <phoneticPr fontId="2"/>
  </si>
  <si>
    <r>
      <t>⑧面積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</si>
  <si>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</si>
  <si>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⑭方位係数
（ν）</t>
    <rPh sb="1" eb="3">
      <t>ホウイ</t>
    </rPh>
    <rPh sb="3" eb="5">
      <t>ケイスウ</t>
    </rPh>
    <phoneticPr fontId="2"/>
  </si>
  <si>
    <r>
      <t>⑮ｍ値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</si>
  <si>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⑪×⑫×⑬×⑭</t>
    <phoneticPr fontId="2"/>
  </si>
  <si>
    <t>全体</t>
    <rPh sb="0" eb="2">
      <t>ゼンタイ</t>
    </rPh>
    <phoneticPr fontId="2"/>
  </si>
  <si>
    <t>①ψ値
（W/ｍK）</t>
    <rPh sb="2" eb="3">
      <t>チ</t>
    </rPh>
    <phoneticPr fontId="2"/>
  </si>
  <si>
    <t>②長さ
（ｍ）</t>
    <rPh sb="1" eb="2">
      <t>ナガ</t>
    </rPh>
    <phoneticPr fontId="2"/>
  </si>
  <si>
    <t>④ｑ値
（W/K)</t>
    <rPh sb="2" eb="3">
      <t>アタイ</t>
    </rPh>
    <phoneticPr fontId="2"/>
  </si>
  <si>
    <t>③温度差係数
（H）</t>
    <rPh sb="1" eb="4">
      <t>オンドサ</t>
    </rPh>
    <rPh sb="4" eb="6">
      <t>ケイスウ</t>
    </rPh>
    <phoneticPr fontId="2"/>
  </si>
  <si>
    <t>①×②×③</t>
    <phoneticPr fontId="2"/>
  </si>
  <si>
    <t>合計</t>
    <rPh sb="0" eb="2">
      <t>ゴウケイ</t>
    </rPh>
    <phoneticPr fontId="2"/>
  </si>
  <si>
    <t>合計</t>
    <rPh sb="0" eb="2">
      <t>ゴウケイ</t>
    </rPh>
    <phoneticPr fontId="2"/>
  </si>
  <si>
    <t>土壁（無断熱）</t>
    <rPh sb="0" eb="2">
      <t>ツチカベ</t>
    </rPh>
    <rPh sb="3" eb="6">
      <t>ムダンネツ</t>
    </rPh>
    <phoneticPr fontId="2"/>
  </si>
  <si>
    <t>戸袋</t>
    <rPh sb="0" eb="2">
      <t>トブクロ</t>
    </rPh>
    <phoneticPr fontId="2"/>
  </si>
  <si>
    <t>床板張り（無断熱）</t>
    <rPh sb="0" eb="1">
      <t>ユカ</t>
    </rPh>
    <rPh sb="1" eb="3">
      <t>イタバ</t>
    </rPh>
    <rPh sb="5" eb="8">
      <t>ムダンネツ</t>
    </rPh>
    <phoneticPr fontId="2"/>
  </si>
  <si>
    <t>床畳（無断熱）</t>
    <rPh sb="0" eb="1">
      <t>ユカ</t>
    </rPh>
    <rPh sb="1" eb="2">
      <t>タタミ</t>
    </rPh>
    <rPh sb="3" eb="6">
      <t>ムダンネツ</t>
    </rPh>
    <phoneticPr fontId="2"/>
  </si>
  <si>
    <t>天井板張り（無断熱）</t>
    <rPh sb="0" eb="2">
      <t>テンジョウ</t>
    </rPh>
    <rPh sb="2" eb="4">
      <t>イタバ</t>
    </rPh>
    <rPh sb="6" eb="9">
      <t>ムダンネツ</t>
    </rPh>
    <phoneticPr fontId="2"/>
  </si>
  <si>
    <t>土壁（無断熱）（戸境壁）</t>
    <phoneticPr fontId="2"/>
  </si>
  <si>
    <t>毛利の間_北</t>
    <rPh sb="0" eb="2">
      <t>モウリ</t>
    </rPh>
    <rPh sb="3" eb="4">
      <t>マ</t>
    </rPh>
    <rPh sb="5" eb="6">
      <t>キタ</t>
    </rPh>
    <phoneticPr fontId="2"/>
  </si>
  <si>
    <t>土壁（無断熱）＋板張り</t>
  </si>
  <si>
    <t>毛利の間_西_い-ろ間</t>
    <rPh sb="0" eb="2">
      <t>モウリ</t>
    </rPh>
    <rPh sb="3" eb="4">
      <t>マ</t>
    </rPh>
    <rPh sb="5" eb="6">
      <t>ニシ</t>
    </rPh>
    <rPh sb="10" eb="11">
      <t>アイダ</t>
    </rPh>
    <phoneticPr fontId="2"/>
  </si>
  <si>
    <t>毛利の間_西_ろ-に間</t>
    <rPh sb="0" eb="2">
      <t>モウリ</t>
    </rPh>
    <rPh sb="3" eb="4">
      <t>マ</t>
    </rPh>
    <rPh sb="5" eb="6">
      <t>ニシ</t>
    </rPh>
    <rPh sb="10" eb="11">
      <t>カン</t>
    </rPh>
    <phoneticPr fontId="2"/>
  </si>
  <si>
    <t>1階サロン_北</t>
    <rPh sb="1" eb="2">
      <t>カイ</t>
    </rPh>
    <rPh sb="6" eb="7">
      <t>キタ</t>
    </rPh>
    <phoneticPr fontId="2"/>
  </si>
  <si>
    <t>奥村の間_北</t>
    <rPh sb="0" eb="2">
      <t>オクムラ</t>
    </rPh>
    <rPh sb="3" eb="4">
      <t>マ</t>
    </rPh>
    <rPh sb="5" eb="6">
      <t>キタ</t>
    </rPh>
    <phoneticPr fontId="2"/>
  </si>
  <si>
    <t>1階縁側_北</t>
    <rPh sb="1" eb="2">
      <t>カイ</t>
    </rPh>
    <rPh sb="2" eb="4">
      <t>エンガワ</t>
    </rPh>
    <rPh sb="5" eb="6">
      <t>キタ</t>
    </rPh>
    <phoneticPr fontId="2"/>
  </si>
  <si>
    <t>1階縁側_東_い-ろ間</t>
    <rPh sb="2" eb="4">
      <t>エンガワ</t>
    </rPh>
    <rPh sb="5" eb="6">
      <t>ヒガシ</t>
    </rPh>
    <rPh sb="10" eb="11">
      <t>カン</t>
    </rPh>
    <phoneticPr fontId="2"/>
  </si>
  <si>
    <t>1階縁側_東_ろ-は間</t>
    <rPh sb="2" eb="4">
      <t>エンガワ</t>
    </rPh>
    <rPh sb="5" eb="6">
      <t>ヒガシ</t>
    </rPh>
    <rPh sb="10" eb="11">
      <t>カン</t>
    </rPh>
    <phoneticPr fontId="2"/>
  </si>
  <si>
    <t>1階縁側_東_は-に間</t>
    <rPh sb="2" eb="4">
      <t>エンガワ</t>
    </rPh>
    <rPh sb="5" eb="6">
      <t>ヒガシ</t>
    </rPh>
    <rPh sb="10" eb="11">
      <t>カン</t>
    </rPh>
    <phoneticPr fontId="2"/>
  </si>
  <si>
    <t>1階縁側_南</t>
    <rPh sb="2" eb="4">
      <t>エンガワ</t>
    </rPh>
    <rPh sb="5" eb="6">
      <t>ミナミ</t>
    </rPh>
    <phoneticPr fontId="2"/>
  </si>
  <si>
    <t>土間_東</t>
    <rPh sb="0" eb="2">
      <t>ドマ</t>
    </rPh>
    <rPh sb="3" eb="4">
      <t>ヒガシ</t>
    </rPh>
    <phoneticPr fontId="2"/>
  </si>
  <si>
    <t>土間_南</t>
    <rPh sb="0" eb="2">
      <t>ドマ</t>
    </rPh>
    <rPh sb="3" eb="4">
      <t>ミナミ</t>
    </rPh>
    <phoneticPr fontId="2"/>
  </si>
  <si>
    <t>土間_西</t>
    <rPh sb="0" eb="2">
      <t>ドマ</t>
    </rPh>
    <rPh sb="3" eb="4">
      <t>ニシ</t>
    </rPh>
    <phoneticPr fontId="2"/>
  </si>
  <si>
    <t>土壁（無断熱）＋下見板張り</t>
    <phoneticPr fontId="2"/>
  </si>
  <si>
    <t>中野の間_西</t>
    <rPh sb="0" eb="2">
      <t>ナカノ</t>
    </rPh>
    <rPh sb="3" eb="4">
      <t>マ</t>
    </rPh>
    <rPh sb="5" eb="6">
      <t>ニシ</t>
    </rPh>
    <phoneticPr fontId="2"/>
  </si>
  <si>
    <t>土壁（無断熱）＋下見板張り</t>
    <rPh sb="0" eb="1">
      <t>ツチ</t>
    </rPh>
    <rPh sb="1" eb="2">
      <t>カベ</t>
    </rPh>
    <rPh sb="3" eb="4">
      <t>ム</t>
    </rPh>
    <rPh sb="4" eb="6">
      <t>ダンネツ</t>
    </rPh>
    <rPh sb="8" eb="10">
      <t>シタミ</t>
    </rPh>
    <rPh sb="10" eb="11">
      <t>イタ</t>
    </rPh>
    <rPh sb="11" eb="12">
      <t>バ</t>
    </rPh>
    <phoneticPr fontId="2"/>
  </si>
  <si>
    <t>中野の間_西_ろ-に間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</si>
  <si>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中野の間_西_い-ろ間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</si>
  <si>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中野の間_北</t>
    <rPh sb="0" eb="2">
      <t>ナカノ</t>
    </rPh>
    <rPh sb="3" eb="4">
      <t>マ</t>
    </rPh>
    <rPh sb="5" eb="6">
      <t>キタ</t>
    </rPh>
    <phoneticPr fontId="2"/>
  </si>
  <si>
    <t>2階サロン_北</t>
    <rPh sb="1" eb="2">
      <t>カイ</t>
    </rPh>
    <rPh sb="6" eb="7">
      <t>キタ</t>
    </rPh>
    <phoneticPr fontId="2"/>
  </si>
  <si>
    <t>吉田の間_北</t>
    <rPh sb="0" eb="2">
      <t>ヨシダ</t>
    </rPh>
    <rPh sb="3" eb="4">
      <t>マ</t>
    </rPh>
    <rPh sb="5" eb="6">
      <t>キタ</t>
    </rPh>
    <phoneticPr fontId="2"/>
  </si>
  <si>
    <t>2階縁側_北</t>
    <rPh sb="1" eb="2">
      <t>カイ</t>
    </rPh>
    <rPh sb="2" eb="4">
      <t>エンガワ</t>
    </rPh>
    <rPh sb="5" eb="6">
      <t>キタ</t>
    </rPh>
    <phoneticPr fontId="2"/>
  </si>
  <si>
    <t>2階縁側_東</t>
    <rPh sb="1" eb="2">
      <t>カイ</t>
    </rPh>
    <rPh sb="2" eb="4">
      <t>エンガワ</t>
    </rPh>
    <rPh sb="5" eb="6">
      <t>ヒガシ</t>
    </rPh>
    <phoneticPr fontId="2"/>
  </si>
  <si>
    <t>2階縁側_東_い-ろ間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</si>
  <si>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2階縁側_東_ろ-に間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</si>
  <si>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2階縁側_南</t>
    <rPh sb="1" eb="2">
      <t>カイ</t>
    </rPh>
    <rPh sb="2" eb="4">
      <t>エンガワ</t>
    </rPh>
    <rPh sb="5" eb="6">
      <t>ミナミ</t>
    </rPh>
    <phoneticPr fontId="2"/>
  </si>
  <si>
    <t>2階吹き抜け_東</t>
    <rPh sb="1" eb="2">
      <t>カイ</t>
    </rPh>
    <rPh sb="2" eb="3">
      <t>フ</t>
    </rPh>
    <rPh sb="4" eb="5">
      <t>ヌ</t>
    </rPh>
    <rPh sb="7" eb="8">
      <t>ヒガシ</t>
    </rPh>
    <phoneticPr fontId="2"/>
  </si>
  <si>
    <t>2階吹き抜け_南</t>
    <rPh sb="1" eb="2">
      <t>カイ</t>
    </rPh>
    <rPh sb="2" eb="3">
      <t>フ</t>
    </rPh>
    <rPh sb="4" eb="5">
      <t>ヌ</t>
    </rPh>
    <rPh sb="7" eb="8">
      <t>ミナミ</t>
    </rPh>
    <phoneticPr fontId="2"/>
  </si>
  <si>
    <t>納戸_南</t>
    <rPh sb="0" eb="2">
      <t>ナンド</t>
    </rPh>
    <rPh sb="3" eb="4">
      <t>ミナミ</t>
    </rPh>
    <phoneticPr fontId="2"/>
  </si>
  <si>
    <t>納戸_西</t>
    <rPh sb="0" eb="2">
      <t>ナンド</t>
    </rPh>
    <rPh sb="3" eb="4">
      <t>ニシ</t>
    </rPh>
    <phoneticPr fontId="2"/>
  </si>
  <si>
    <t>板戸</t>
    <rPh sb="0" eb="2">
      <t>イタド</t>
    </rPh>
    <phoneticPr fontId="2"/>
  </si>
  <si>
    <t>毛利の間</t>
    <rPh sb="0" eb="2">
      <t>モウリ</t>
    </rPh>
    <rPh sb="3" eb="4">
      <t>マ</t>
    </rPh>
    <phoneticPr fontId="2"/>
  </si>
  <si>
    <t>1階サロン_階段下</t>
    <rPh sb="1" eb="2">
      <t>カイ</t>
    </rPh>
    <rPh sb="6" eb="9">
      <t>カイダンシタ</t>
    </rPh>
    <phoneticPr fontId="2"/>
  </si>
  <si>
    <t>1階サロン</t>
    <rPh sb="1" eb="2">
      <t>カイ</t>
    </rPh>
    <phoneticPr fontId="2"/>
  </si>
  <si>
    <t>奥村の間_仏間&amp;床間</t>
    <rPh sb="0" eb="2">
      <t>オクムラ</t>
    </rPh>
    <rPh sb="3" eb="4">
      <t>マ</t>
    </rPh>
    <rPh sb="5" eb="7">
      <t>ブツマ</t>
    </rPh>
    <rPh sb="8" eb="9">
      <t>トコ</t>
    </rPh>
    <rPh sb="9" eb="10">
      <t>マ</t>
    </rPh>
    <phoneticPr fontId="2"/>
  </si>
  <si>
    <t>奥村の間</t>
    <rPh sb="0" eb="2">
      <t>オクムラ</t>
    </rPh>
    <rPh sb="3" eb="4">
      <t>マ</t>
    </rPh>
    <phoneticPr fontId="2"/>
  </si>
  <si>
    <t>1階縁側</t>
    <rPh sb="1" eb="2">
      <t>カイ</t>
    </rPh>
    <rPh sb="2" eb="4">
      <t>エンガワ</t>
    </rPh>
    <phoneticPr fontId="2"/>
  </si>
  <si>
    <t>1階土間</t>
    <rPh sb="1" eb="2">
      <t>カイ</t>
    </rPh>
    <rPh sb="2" eb="4">
      <t>ドマ</t>
    </rPh>
    <phoneticPr fontId="2"/>
  </si>
  <si>
    <t>土間</t>
    <rPh sb="0" eb="2">
      <t>ドマ</t>
    </rPh>
    <phoneticPr fontId="2"/>
  </si>
  <si>
    <t>中野の間</t>
    <rPh sb="0" eb="2">
      <t>ナカノ</t>
    </rPh>
    <rPh sb="3" eb="4">
      <t>マ</t>
    </rPh>
    <phoneticPr fontId="2"/>
  </si>
  <si>
    <t>2階サロン</t>
    <rPh sb="1" eb="2">
      <t>カイ</t>
    </rPh>
    <phoneticPr fontId="2"/>
  </si>
  <si>
    <t>吉田の間</t>
    <rPh sb="0" eb="2">
      <t>ヨシダ</t>
    </rPh>
    <rPh sb="3" eb="4">
      <t>マ</t>
    </rPh>
    <phoneticPr fontId="2"/>
  </si>
  <si>
    <t>2階吹き抜け</t>
    <rPh sb="1" eb="2">
      <t>カイ</t>
    </rPh>
    <rPh sb="2" eb="3">
      <t>フ</t>
    </rPh>
    <rPh sb="4" eb="5">
      <t>ヌ</t>
    </rPh>
    <phoneticPr fontId="2"/>
  </si>
  <si>
    <t>納戸</t>
    <rPh sb="0" eb="2">
      <t>ナンド</t>
    </rPh>
    <phoneticPr fontId="2"/>
  </si>
  <si>
    <t>2階縁側</t>
    <rPh sb="1" eb="2">
      <t>カイ</t>
    </rPh>
    <rPh sb="2" eb="4">
      <t>エンガワ</t>
    </rPh>
    <phoneticPr fontId="2"/>
  </si>
  <si>
    <t>無断熱</t>
    <rPh sb="0" eb="3">
      <t>ムダンネツ</t>
    </rPh>
    <phoneticPr fontId="2"/>
  </si>
  <si>
    <t>1階土間_西</t>
    <rPh sb="1" eb="2">
      <t>カイ</t>
    </rPh>
    <rPh sb="2" eb="4">
      <t>ドマ</t>
    </rPh>
    <rPh sb="5" eb="6">
      <t>ニシ</t>
    </rPh>
    <phoneticPr fontId="2"/>
  </si>
  <si>
    <t>1階土間_東</t>
    <rPh sb="1" eb="2">
      <t>カイ</t>
    </rPh>
    <rPh sb="2" eb="4">
      <t>ドマ</t>
    </rPh>
    <rPh sb="5" eb="6">
      <t>ヒガシ</t>
    </rPh>
    <phoneticPr fontId="2"/>
  </si>
  <si>
    <t>1階土間_南</t>
    <rPh sb="1" eb="2">
      <t>カイ</t>
    </rPh>
    <rPh sb="2" eb="4">
      <t>ドマ</t>
    </rPh>
    <rPh sb="5" eb="6">
      <t>ミナミ</t>
    </rPh>
    <phoneticPr fontId="2"/>
  </si>
  <si>
    <t>1階土間_北</t>
    <rPh sb="1" eb="2">
      <t>カイ</t>
    </rPh>
    <rPh sb="2" eb="4">
      <t>ドマ</t>
    </rPh>
    <rPh sb="5" eb="6">
      <t>キタ</t>
    </rPh>
    <phoneticPr fontId="2"/>
  </si>
  <si>
    <t>毛利の間_西</t>
    <rPh sb="0" eb="2">
      <t>モウリ</t>
    </rPh>
    <rPh sb="3" eb="4">
      <t>マ</t>
    </rPh>
    <rPh sb="5" eb="6">
      <t>ニシ</t>
    </rPh>
    <phoneticPr fontId="2"/>
  </si>
  <si>
    <t>木製・単板</t>
    <rPh sb="0" eb="2">
      <t>モクセイ</t>
    </rPh>
    <rPh sb="3" eb="5">
      <t>タンバン</t>
    </rPh>
    <phoneticPr fontId="2"/>
  </si>
  <si>
    <t>1階縁側_東</t>
    <rPh sb="1" eb="2">
      <t>カイ</t>
    </rPh>
    <rPh sb="2" eb="4">
      <t>エンガワ</t>
    </rPh>
    <rPh sb="5" eb="6">
      <t>ヒガシ</t>
    </rPh>
    <phoneticPr fontId="2"/>
  </si>
  <si>
    <t>2階縁側_東_欄間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</si>
  <si>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1階縁側_東_欄間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</si>
  <si>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よしやまち校舎改修前</t>
    <rPh sb="5" eb="7">
      <t>コウシャ</t>
    </rPh>
    <rPh sb="7" eb="10">
      <t>カイシュウマエ</t>
    </rPh>
    <phoneticPr fontId="2"/>
  </si>
  <si>
    <r>
      <t>③除く面積（m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）
</t>
    </r>
    <r>
      <rPr>
        <sz val="8"/>
        <color theme="1"/>
        <rFont val="Meiryo UI"/>
        <family val="3"/>
        <charset val="128"/>
      </rPr>
      <t>（窓・戸など）</t>
    </r>
    <rPh sb="1" eb="2">
      <t>ノゾ</t>
    </rPh>
    <rPh sb="3" eb="5">
      <t>メンセキ</t>
    </rPh>
    <rPh sb="11" eb="12">
      <t>マド</t>
    </rPh>
    <rPh sb="13" eb="14">
      <t>ト</t>
    </rPh>
    <phoneticPr fontId="2"/>
  </si>
  <si>
    <r>
      <t>⑤U値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</si>
  <si>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⑥面積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</si>
  <si>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</si>
  <si>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⑫ｍ値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</si>
  <si>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⑭面積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</si>
  <si>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⑯ｍ値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</si>
  <si>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⑬面積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</si>
  <si>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土間_北_大黒柱まで</t>
    <rPh sb="0" eb="2">
      <t>ドマ</t>
    </rPh>
    <rPh sb="3" eb="4">
      <t>キタ</t>
    </rPh>
    <rPh sb="5" eb="7">
      <t>ダイコク</t>
    </rPh>
    <rPh sb="7" eb="8">
      <t>バシラ</t>
    </rPh>
    <phoneticPr fontId="2"/>
  </si>
  <si>
    <t>土間_北_大黒柱より奥</t>
    <rPh sb="0" eb="2">
      <t>ドマ</t>
    </rPh>
    <rPh sb="3" eb="4">
      <t>キタ</t>
    </rPh>
    <rPh sb="5" eb="7">
      <t>ダイコク</t>
    </rPh>
    <rPh sb="7" eb="8">
      <t>バシラ</t>
    </rPh>
    <rPh sb="10" eb="11">
      <t>オク</t>
    </rPh>
    <phoneticPr fontId="2"/>
  </si>
  <si>
    <t>土壁（無断熱）（床下）</t>
    <phoneticPr fontId="2"/>
  </si>
  <si>
    <t>板張り（床下）</t>
    <rPh sb="0" eb="2">
      <t>イタバ</t>
    </rPh>
    <rPh sb="4" eb="6">
      <t>ユカシタ</t>
    </rPh>
    <phoneticPr fontId="2"/>
  </si>
  <si>
    <t>UA値</t>
    <rPh sb="2" eb="3">
      <t>アタイ</t>
    </rPh>
    <phoneticPr fontId="2"/>
  </si>
  <si>
    <t>番号</t>
    <rPh sb="0" eb="2">
      <t>バンゴウ</t>
    </rPh>
    <phoneticPr fontId="2"/>
  </si>
  <si>
    <t>壁体構成の名称</t>
    <rPh sb="0" eb="2">
      <t>ヘキタイ</t>
    </rPh>
    <rPh sb="2" eb="4">
      <t>コウセイ</t>
    </rPh>
    <rPh sb="5" eb="7">
      <t>メイショウ</t>
    </rPh>
    <phoneticPr fontId="2"/>
  </si>
  <si>
    <t>土壁（無断熱）＋板張り</t>
    <phoneticPr fontId="2"/>
  </si>
  <si>
    <t>層の名称</t>
    <rPh sb="0" eb="1">
      <t>ソウ</t>
    </rPh>
    <rPh sb="2" eb="4">
      <t>メイショウ</t>
    </rPh>
    <phoneticPr fontId="2"/>
  </si>
  <si>
    <t>層１</t>
    <rPh sb="0" eb="1">
      <t>ソウ</t>
    </rPh>
    <phoneticPr fontId="2"/>
  </si>
  <si>
    <t>層２</t>
    <rPh sb="0" eb="1">
      <t>ソウ</t>
    </rPh>
    <phoneticPr fontId="2"/>
  </si>
  <si>
    <t>層３</t>
    <rPh sb="0" eb="1">
      <t>ソウ</t>
    </rPh>
    <phoneticPr fontId="2"/>
  </si>
  <si>
    <t>層４</t>
    <rPh sb="0" eb="1">
      <t>ソウ</t>
    </rPh>
    <phoneticPr fontId="2"/>
  </si>
  <si>
    <t>層５</t>
    <rPh sb="0" eb="1">
      <t>ソウ</t>
    </rPh>
    <phoneticPr fontId="2"/>
  </si>
  <si>
    <t>室内側</t>
    <rPh sb="0" eb="3">
      <t>シツナイガワ</t>
    </rPh>
    <phoneticPr fontId="2"/>
  </si>
  <si>
    <t>室外側</t>
    <rPh sb="0" eb="3">
      <t>シツガイガワ</t>
    </rPh>
    <phoneticPr fontId="2"/>
  </si>
  <si>
    <t>①厚さ
(m)</t>
    <rPh sb="1" eb="2">
      <t>アツ</t>
    </rPh>
    <phoneticPr fontId="2"/>
  </si>
  <si>
    <t>②熱伝導率
(W/mK)</t>
    <rPh sb="1" eb="5">
      <t>ネツデンドウリツ</t>
    </rPh>
    <phoneticPr fontId="2"/>
  </si>
  <si>
    <t>図面から</t>
    <rPh sb="0" eb="2">
      <t>ズメン</t>
    </rPh>
    <phoneticPr fontId="2"/>
  </si>
  <si>
    <t>表・JIS値から</t>
    <rPh sb="0" eb="1">
      <t>ヒョウ</t>
    </rPh>
    <rPh sb="5" eb="6">
      <t>アタイ</t>
    </rPh>
    <phoneticPr fontId="2"/>
  </si>
  <si>
    <r>
      <t>③熱抵抗
(m</t>
    </r>
    <r>
      <rPr>
        <vertAlign val="superscript"/>
        <sz val="11"/>
        <color theme="1"/>
        <rFont val="メイリオ"/>
        <family val="3"/>
        <charset val="128"/>
      </rPr>
      <t>2</t>
    </r>
    <r>
      <rPr>
        <sz val="11"/>
        <color theme="1"/>
        <rFont val="メイリオ"/>
        <family val="3"/>
        <charset val="128"/>
      </rPr>
      <t>K/W)</t>
    </r>
    <rPh sb="1" eb="4">
      <t>ネツテイコウ</t>
    </rPh>
    <phoneticPr fontId="2"/>
  </si>
  <si>
    <t>表から,又は①÷②</t>
    <rPh sb="0" eb="1">
      <t>ヒョウ</t>
    </rPh>
    <rPh sb="4" eb="5">
      <t>マタ</t>
    </rPh>
    <phoneticPr fontId="2"/>
  </si>
  <si>
    <t>一般部</t>
    <rPh sb="0" eb="3">
      <t>イッパンブ</t>
    </rPh>
    <phoneticPr fontId="2"/>
  </si>
  <si>
    <t>熱橋部</t>
    <rPh sb="0" eb="2">
      <t>ネッキョウ</t>
    </rPh>
    <rPh sb="2" eb="3">
      <t>ブ</t>
    </rPh>
    <phoneticPr fontId="2"/>
  </si>
  <si>
    <t>室内側表面</t>
    <rPh sb="0" eb="3">
      <t>シツナイガワ</t>
    </rPh>
    <rPh sb="3" eb="5">
      <t>ヒョウメン</t>
    </rPh>
    <phoneticPr fontId="2"/>
  </si>
  <si>
    <t>室外側表面</t>
    <rPh sb="0" eb="3">
      <t>シツガイガワ</t>
    </rPh>
    <rPh sb="3" eb="5">
      <t>ヒョウメン</t>
    </rPh>
    <phoneticPr fontId="2"/>
  </si>
  <si>
    <t>④熱抵抗合計（∑③）</t>
    <rPh sb="1" eb="4">
      <t>ネツテイコウ</t>
    </rPh>
    <rPh sb="4" eb="6">
      <t>ゴウケイ</t>
    </rPh>
    <phoneticPr fontId="2"/>
  </si>
  <si>
    <t>⑤U値（1÷④）</t>
    <rPh sb="2" eb="3">
      <t>チ</t>
    </rPh>
    <phoneticPr fontId="2"/>
  </si>
  <si>
    <r>
      <t>U値（W/m</t>
    </r>
    <r>
      <rPr>
        <vertAlign val="superscript"/>
        <sz val="11"/>
        <color theme="1"/>
        <rFont val="メイリオ"/>
        <family val="3"/>
        <charset val="128"/>
      </rPr>
      <t>2</t>
    </r>
    <r>
      <rPr>
        <sz val="11"/>
        <color theme="1"/>
        <rFont val="メイリオ"/>
        <family val="3"/>
        <charset val="128"/>
      </rPr>
      <t>K）</t>
    </r>
    <rPh sb="1" eb="2">
      <t>チ</t>
    </rPh>
    <phoneticPr fontId="2"/>
  </si>
  <si>
    <t>面積割合</t>
    <rPh sb="0" eb="2">
      <t>メンセキ</t>
    </rPh>
    <rPh sb="2" eb="4">
      <t>ワリアイ</t>
    </rPh>
    <phoneticPr fontId="2"/>
  </si>
  <si>
    <t>土壁</t>
    <rPh sb="0" eb="2">
      <t>ツチカベ</t>
    </rPh>
    <phoneticPr fontId="2"/>
  </si>
  <si>
    <t>木材</t>
    <rPh sb="0" eb="1">
      <t>モク</t>
    </rPh>
    <rPh sb="1" eb="2">
      <t>ザイ</t>
    </rPh>
    <phoneticPr fontId="2"/>
  </si>
  <si>
    <t>土壁（無断熱）</t>
    <phoneticPr fontId="2"/>
  </si>
  <si>
    <t>土壁（無断熱）（戸境壁）</t>
    <phoneticPr fontId="2"/>
  </si>
  <si>
    <t>土壁（無断熱）（床下）</t>
    <phoneticPr fontId="2"/>
  </si>
  <si>
    <t>板張り（床下）</t>
    <phoneticPr fontId="2"/>
  </si>
  <si>
    <t>木材</t>
    <rPh sb="0" eb="2">
      <t>モクザイ</t>
    </rPh>
    <phoneticPr fontId="2"/>
  </si>
  <si>
    <t>土壁（無断熱）＋下見板張り</t>
    <phoneticPr fontId="2"/>
  </si>
  <si>
    <t>戸袋</t>
    <phoneticPr fontId="2"/>
  </si>
  <si>
    <t>床板張り（無断熱）（縁側下）</t>
    <phoneticPr fontId="2"/>
  </si>
  <si>
    <t>床板張り（無断熱）（床下）</t>
    <phoneticPr fontId="2"/>
  </si>
  <si>
    <t>床畳（無断熱）</t>
    <phoneticPr fontId="2"/>
  </si>
  <si>
    <t>畳床</t>
    <rPh sb="0" eb="1">
      <t>タタミ</t>
    </rPh>
    <rPh sb="1" eb="2">
      <t>ユカ</t>
    </rPh>
    <phoneticPr fontId="2"/>
  </si>
  <si>
    <t>天井板張り（無断熱）</t>
    <phoneticPr fontId="2"/>
  </si>
  <si>
    <t>U値（一般部）</t>
    <rPh sb="1" eb="2">
      <t>チ</t>
    </rPh>
    <rPh sb="3" eb="5">
      <t>イッパン</t>
    </rPh>
    <rPh sb="5" eb="6">
      <t>ブ</t>
    </rPh>
    <phoneticPr fontId="2"/>
  </si>
  <si>
    <t>U値（熱橋部）</t>
    <rPh sb="1" eb="2">
      <t>チ</t>
    </rPh>
    <rPh sb="3" eb="4">
      <t>ネツ</t>
    </rPh>
    <rPh sb="4" eb="5">
      <t>ハシ</t>
    </rPh>
    <rPh sb="5" eb="6">
      <t>ブ</t>
    </rPh>
    <phoneticPr fontId="2"/>
  </si>
  <si>
    <t>③z（mm）</t>
    <phoneticPr fontId="2"/>
  </si>
  <si>
    <r>
      <t>②y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（mm）</t>
    </r>
    <phoneticPr fontId="2"/>
  </si>
  <si>
    <r>
      <t>①y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>（mm）</t>
    </r>
    <phoneticPr fontId="2"/>
  </si>
  <si>
    <t>暖房期日除け
（ｆ）</t>
    <rPh sb="0" eb="2">
      <t>ダンボウ</t>
    </rPh>
    <rPh sb="2" eb="3">
      <t>キ</t>
    </rPh>
    <rPh sb="3" eb="5">
      <t>ヒヨ</t>
    </rPh>
    <phoneticPr fontId="2"/>
  </si>
  <si>
    <t>冷房期日除け
（ｆ）</t>
    <rPh sb="0" eb="2">
      <t>レイボウ</t>
    </rPh>
    <rPh sb="2" eb="3">
      <t>キ</t>
    </rPh>
    <rPh sb="3" eb="5">
      <t>ヒヨ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</si>
</sst>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6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vertAlign val="superscript"/>
      <sz val="9"/>
      <color theme="1"/>
      <name val="Meiryo UI"/>
      <family val="3"/>
      <charset val="128"/>
    </font>
    <font>
      <vertAlign val="superscript"/>
      <sz val="11"/>
      <color theme="1"/>
      <name val="メイリオ"/>
      <family val="3"/>
      <charset val="128"/>
    </font>
    <font>
      <vertAlign val="subscript"/>
      <sz val="11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7" xfId="0" applyFont="1" applyFill="1" applyBorder="1" applyAlignment="1">
      <alignment horizontal="center" vertical="center" shrinkToFit="1"/>
    </xf>
    <xf numFmtId="0" fontId="1" fillId="3" borderId="10" xfId="0" applyFont="1" applyFill="1" applyBorder="1" applyAlignment="1">
      <alignment horizontal="center" vertical="center" shrinkToFit="1"/>
    </xf>
    <xf numFmtId="0" fontId="1" fillId="3" borderId="14" xfId="0" applyFont="1" applyFill="1" applyBorder="1" applyAlignment="1">
      <alignment horizontal="center" vertical="center" shrinkToFit="1"/>
    </xf>
    <xf numFmtId="0" fontId="1" fillId="3" borderId="5" xfId="0" applyFont="1" applyFill="1" applyBorder="1" applyAlignment="1">
      <alignment horizontal="center" vertical="center" shrinkToFit="1"/>
    </xf>
    <xf numFmtId="0" fontId="1" fillId="3" borderId="9" xfId="0" applyFont="1" applyFill="1" applyBorder="1" applyAlignment="1">
      <alignment horizontal="center" vertical="center" shrinkToFit="1"/>
    </xf>
    <xf numFmtId="0" fontId="1" fillId="3" borderId="12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shrinkToFit="1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shrinkToFit="1"/>
    </xf>
    <xf numFmtId="0" fontId="1" fillId="4" borderId="10" xfId="0" applyFont="1" applyFill="1" applyBorder="1" applyAlignment="1">
      <alignment horizontal="center" vertical="center" shrinkToFit="1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32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4" fillId="0" borderId="3" xfId="0" applyFont="1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2" borderId="2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5" borderId="35" xfId="0" applyFont="1" applyFill="1" applyBorder="1" applyAlignment="1"/>
    <xf numFmtId="0" fontId="0" fillId="5" borderId="36" xfId="0" applyFill="1" applyBorder="1" applyAlignment="1"/>
    <xf numFmtId="0" fontId="0" fillId="5" borderId="37" xfId="0" applyFill="1" applyBorder="1" applyAlignment="1"/>
    <xf numFmtId="0" fontId="4" fillId="5" borderId="1" xfId="0" applyFont="1" applyFill="1" applyBorder="1"/>
    <xf numFmtId="0" fontId="4" fillId="3" borderId="0" xfId="0" applyFont="1" applyFill="1"/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/>
    <xf numFmtId="0" fontId="4" fillId="3" borderId="35" xfId="0" applyFont="1" applyFill="1" applyBorder="1" applyAlignment="1"/>
    <xf numFmtId="0" fontId="0" fillId="3" borderId="36" xfId="0" applyFill="1" applyBorder="1" applyAlignment="1"/>
    <xf numFmtId="0" fontId="0" fillId="3" borderId="37" xfId="0" applyFill="1" applyBorder="1" applyAlignment="1"/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/>
    <xf numFmtId="0" fontId="4" fillId="0" borderId="4" xfId="0" applyFont="1" applyBorder="1"/>
    <xf numFmtId="0" fontId="4" fillId="0" borderId="8" xfId="0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4</xdr:row>
      <xdr:rowOff>209550</xdr:rowOff>
    </xdr:from>
    <xdr:to>
      <xdr:col>3</xdr:col>
      <xdr:colOff>857251</xdr:colOff>
      <xdr:row>12</xdr:row>
      <xdr:rowOff>123825</xdr:rowOff>
    </xdr:to>
    <xdr:sp macro="" textlink="">
      <xdr:nvSpPr>
        <xdr:cNvPr id="2" name="右矢印 1"/>
        <xdr:cNvSpPr/>
      </xdr:nvSpPr>
      <xdr:spPr>
        <a:xfrm>
          <a:off x="3295651" y="457200"/>
          <a:ext cx="666750" cy="1381125"/>
        </a:xfrm>
        <a:prstGeom prst="rightArrow">
          <a:avLst>
            <a:gd name="adj1" fmla="val 66552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view="pageBreakPreview" zoomScale="120" zoomScaleNormal="100" zoomScaleSheetLayoutView="120" workbookViewId="0">
      <selection activeCell="H6" sqref="H6"/>
    </sheetView>
  </sheetViews>
  <sheetFormatPr defaultRowHeight="18.75" x14ac:dyDescent="0.45"/>
  <cols>
    <col min="1" max="1" width="1.625" style="1" customWidth="1"/>
    <col min="2" max="2" width="15" style="1" customWidth="1"/>
    <col min="3" max="3" width="14.375" style="1" customWidth="1"/>
    <col min="4" max="4" width="14.125" style="1" customWidth="1"/>
    <col min="5" max="5" width="15" style="1" customWidth="1"/>
    <col min="6" max="6" width="9" style="1"/>
    <col min="7" max="7" width="2" style="1" customWidth="1"/>
    <col min="8" max="8" width="15" style="1" customWidth="1"/>
    <col min="9" max="9" width="14.125" style="1" customWidth="1"/>
    <col min="10" max="10" width="8.25" style="3" bestFit="1" customWidth="1"/>
    <col min="11" max="16384" width="9" style="1"/>
  </cols>
  <sheetData>
    <row r="2" spans="2:10" ht="19.5" thickBot="1" x14ac:dyDescent="0.5">
      <c r="B2" s="1" t="s">
        <v>29</v>
      </c>
    </row>
    <row r="3" spans="2:10" ht="30" customHeight="1" thickBot="1" x14ac:dyDescent="0.5">
      <c r="B3" s="58" t="s">
        <v>155</v>
      </c>
      <c r="C3" s="59"/>
      <c r="D3" s="60"/>
    </row>
    <row r="5" spans="2:10" ht="19.5" thickBot="1" x14ac:dyDescent="0.5">
      <c r="B5" s="1" t="s">
        <v>11</v>
      </c>
      <c r="E5" s="1" t="s">
        <v>16</v>
      </c>
      <c r="H5" s="1" t="s">
        <v>168</v>
      </c>
      <c r="J5" s="1"/>
    </row>
    <row r="6" spans="2:10" ht="19.5" thickBot="1" x14ac:dyDescent="0.5">
      <c r="B6" s="2">
        <f>'不透明部位（窓以外・戸を含む）'!N54+'透明部位（窓）'!K37+地盤熱橋!J20</f>
        <v>737.42194862477379</v>
      </c>
      <c r="C6" s="3" t="s">
        <v>14</v>
      </c>
      <c r="E6" s="2">
        <f>B6/'不透明部位（窓以外・戸を含む）'!G54</f>
        <v>7.5645612456799096</v>
      </c>
      <c r="F6" s="3" t="s">
        <v>22</v>
      </c>
      <c r="H6" s="2">
        <f>B6/('不透明部位（窓以外・戸を含む）'!G55+'透明部位（窓）'!G37)</f>
        <v>3.020870746936088</v>
      </c>
      <c r="I6" s="3" t="s">
        <v>22</v>
      </c>
    </row>
    <row r="7" spans="2:10" x14ac:dyDescent="0.45">
      <c r="B7" s="3" t="s">
        <v>26</v>
      </c>
      <c r="E7" s="3"/>
      <c r="H7" s="3" t="s">
        <v>27</v>
      </c>
    </row>
    <row r="8" spans="2:10" x14ac:dyDescent="0.45">
      <c r="B8" s="3"/>
    </row>
    <row r="9" spans="2:10" ht="19.5" thickBot="1" x14ac:dyDescent="0.5">
      <c r="B9" s="1" t="s">
        <v>12</v>
      </c>
      <c r="E9" s="1" t="s">
        <v>20</v>
      </c>
      <c r="H9" s="1" t="s">
        <v>24</v>
      </c>
      <c r="J9" s="1"/>
    </row>
    <row r="10" spans="2:10" ht="19.5" thickBot="1" x14ac:dyDescent="0.5">
      <c r="B10" s="2"/>
      <c r="C10" s="3" t="s">
        <v>15</v>
      </c>
      <c r="E10" s="2"/>
      <c r="F10" s="3" t="s">
        <v>23</v>
      </c>
      <c r="H10" s="2"/>
      <c r="I10" s="3" t="s">
        <v>23</v>
      </c>
    </row>
    <row r="11" spans="2:10" x14ac:dyDescent="0.45">
      <c r="B11" s="3" t="s">
        <v>26</v>
      </c>
    </row>
    <row r="12" spans="2:10" x14ac:dyDescent="0.45">
      <c r="B12" s="3"/>
    </row>
    <row r="13" spans="2:10" ht="19.5" thickBot="1" x14ac:dyDescent="0.5">
      <c r="B13" s="1" t="s">
        <v>13</v>
      </c>
      <c r="E13" s="1" t="s">
        <v>21</v>
      </c>
      <c r="H13" s="1" t="s">
        <v>25</v>
      </c>
      <c r="J13" s="1"/>
    </row>
    <row r="14" spans="2:10" ht="19.5" thickBot="1" x14ac:dyDescent="0.5">
      <c r="B14" s="2"/>
      <c r="C14" s="3" t="s">
        <v>15</v>
      </c>
      <c r="E14" s="2"/>
      <c r="F14" s="3" t="s">
        <v>23</v>
      </c>
      <c r="H14" s="2"/>
      <c r="I14" s="3" t="s">
        <v>23</v>
      </c>
    </row>
    <row r="15" spans="2:10" x14ac:dyDescent="0.45">
      <c r="B15" s="3" t="s">
        <v>26</v>
      </c>
      <c r="H15" s="3" t="s">
        <v>27</v>
      </c>
    </row>
    <row r="16" spans="2:10" x14ac:dyDescent="0.45">
      <c r="B16" s="3"/>
    </row>
    <row r="17" spans="2:3" ht="19.5" thickBot="1" x14ac:dyDescent="0.5">
      <c r="B17" s="1" t="s">
        <v>17</v>
      </c>
    </row>
    <row r="18" spans="2:3" ht="19.5" thickBot="1" x14ac:dyDescent="0.5">
      <c r="B18" s="2"/>
      <c r="C18" s="3" t="s">
        <v>19</v>
      </c>
    </row>
    <row r="20" spans="2:3" ht="19.5" thickBot="1" x14ac:dyDescent="0.5">
      <c r="B20" s="1" t="s">
        <v>18</v>
      </c>
    </row>
    <row r="21" spans="2:3" ht="19.5" thickBot="1" x14ac:dyDescent="0.5">
      <c r="B21" s="2"/>
      <c r="C21" s="3" t="s">
        <v>19</v>
      </c>
    </row>
  </sheetData>
  <mergeCells count="1">
    <mergeCell ref="B3:D3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portrait" horizontalDpi="4294967293" verticalDpi="4294967293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I55"/>
  <sheetViews>
    <sheetView view="pageBreakPreview" topLeftCell="K1" zoomScaleNormal="80" zoomScaleSheetLayoutView="100" workbookViewId="0">
      <selection activeCell="G55" sqref="G55"/>
    </sheetView>
  </sheetViews>
  <sheetFormatPr defaultRowHeight="15.75" x14ac:dyDescent="0.15"/>
  <cols>
    <col min="1" max="1" width="3.375" style="13" customWidth="1"/>
    <col min="2" max="2" width="19.75" style="13" customWidth="1"/>
    <col min="3" max="7" width="16.25" style="13" customWidth="1"/>
    <col min="8" max="8" width="12.5" style="13" customWidth="1"/>
    <col min="9" max="9" width="3.25" style="13" bestFit="1" customWidth="1"/>
    <col min="10" max="10" width="12.5" style="13" customWidth="1"/>
    <col min="11" max="11" width="3.625" style="13" bestFit="1" customWidth="1"/>
    <col min="12" max="12" width="13.625" style="13" customWidth="1"/>
    <col min="13" max="13" width="3.625" style="13" bestFit="1" customWidth="1"/>
    <col min="14" max="14" width="12.5" style="13" customWidth="1"/>
    <col min="15" max="15" width="6.25" style="13" customWidth="1"/>
    <col min="16" max="16" width="12.5" style="13" customWidth="1"/>
    <col min="17" max="17" width="3.5" style="13" bestFit="1" customWidth="1"/>
    <col min="18" max="18" width="12.5" style="13" customWidth="1"/>
    <col min="19" max="19" width="3.5" style="13" bestFit="1" customWidth="1"/>
    <col min="20" max="20" width="11.375" style="13" bestFit="1" customWidth="1"/>
    <col min="21" max="21" width="3.875" style="13" bestFit="1" customWidth="1"/>
    <col min="22" max="22" width="12.5" style="13" customWidth="1"/>
    <col min="23" max="23" width="6.125" style="13" customWidth="1"/>
    <col min="24" max="24" width="12.375" style="13" customWidth="1"/>
    <col min="25" max="25" width="3.5" style="13" bestFit="1" customWidth="1"/>
    <col min="26" max="26" width="12.5" style="13" customWidth="1"/>
    <col min="27" max="27" width="3.5" style="13" bestFit="1" customWidth="1"/>
    <col min="28" max="28" width="11.375" style="13" bestFit="1" customWidth="1"/>
    <col min="29" max="29" width="3.875" style="13" bestFit="1" customWidth="1"/>
    <col min="30" max="30" width="12.5" style="13" customWidth="1"/>
    <col min="31" max="31" width="3.375" style="13" customWidth="1"/>
    <col min="32" max="16384" width="9" style="13"/>
  </cols>
  <sheetData>
    <row r="2" spans="2:35" ht="21.75" thickBot="1" x14ac:dyDescent="0.2">
      <c r="B2" s="39" t="s">
        <v>3</v>
      </c>
    </row>
    <row r="3" spans="2:35" ht="30" customHeight="1" thickBot="1" x14ac:dyDescent="0.2">
      <c r="B3" s="65" t="s">
        <v>30</v>
      </c>
      <c r="C3" s="67"/>
      <c r="D3" s="65" t="s">
        <v>31</v>
      </c>
      <c r="E3" s="66"/>
      <c r="F3" s="66"/>
      <c r="G3" s="67"/>
      <c r="H3" s="68" t="s">
        <v>34</v>
      </c>
      <c r="I3" s="66"/>
      <c r="J3" s="66"/>
      <c r="K3" s="66"/>
      <c r="L3" s="66"/>
      <c r="M3" s="66"/>
      <c r="N3" s="67"/>
      <c r="O3" s="65" t="s">
        <v>44</v>
      </c>
      <c r="P3" s="66"/>
      <c r="Q3" s="66"/>
      <c r="R3" s="66"/>
      <c r="S3" s="66"/>
      <c r="T3" s="66"/>
      <c r="U3" s="66"/>
      <c r="V3" s="67"/>
      <c r="W3" s="65" t="s">
        <v>51</v>
      </c>
      <c r="X3" s="66"/>
      <c r="Y3" s="66"/>
      <c r="Z3" s="66"/>
      <c r="AA3" s="66"/>
      <c r="AB3" s="66"/>
      <c r="AC3" s="66"/>
      <c r="AD3" s="67"/>
    </row>
    <row r="4" spans="2:35" ht="30" customHeight="1" x14ac:dyDescent="0.15">
      <c r="B4" s="61" t="s">
        <v>0</v>
      </c>
      <c r="C4" s="63" t="s">
        <v>28</v>
      </c>
      <c r="D4" s="4" t="s">
        <v>32</v>
      </c>
      <c r="E4" s="5" t="s">
        <v>33</v>
      </c>
      <c r="F4" s="5" t="s">
        <v>156</v>
      </c>
      <c r="G4" s="7" t="s">
        <v>37</v>
      </c>
      <c r="H4" s="4" t="s">
        <v>157</v>
      </c>
      <c r="I4" s="5"/>
      <c r="J4" s="5" t="s">
        <v>158</v>
      </c>
      <c r="K4" s="6"/>
      <c r="L4" s="5" t="s">
        <v>41</v>
      </c>
      <c r="M4" s="6"/>
      <c r="N4" s="7" t="s">
        <v>42</v>
      </c>
      <c r="O4" s="14" t="s">
        <v>4</v>
      </c>
      <c r="P4" s="5" t="s">
        <v>48</v>
      </c>
      <c r="Q4" s="5"/>
      <c r="R4" s="5" t="s">
        <v>159</v>
      </c>
      <c r="S4" s="6"/>
      <c r="T4" s="5" t="s">
        <v>49</v>
      </c>
      <c r="U4" s="6"/>
      <c r="V4" s="7" t="s">
        <v>160</v>
      </c>
      <c r="W4" s="14" t="s">
        <v>4</v>
      </c>
      <c r="X4" s="5" t="s">
        <v>52</v>
      </c>
      <c r="Y4" s="5"/>
      <c r="Z4" s="5" t="s">
        <v>161</v>
      </c>
      <c r="AA4" s="6"/>
      <c r="AB4" s="5" t="s">
        <v>53</v>
      </c>
      <c r="AC4" s="6"/>
      <c r="AD4" s="7" t="s">
        <v>162</v>
      </c>
    </row>
    <row r="5" spans="2:35" ht="16.5" thickBot="1" x14ac:dyDescent="0.2">
      <c r="B5" s="62"/>
      <c r="C5" s="64"/>
      <c r="D5" s="8" t="s">
        <v>35</v>
      </c>
      <c r="E5" s="9" t="s">
        <v>35</v>
      </c>
      <c r="F5" s="9" t="s">
        <v>35</v>
      </c>
      <c r="G5" s="11" t="s">
        <v>36</v>
      </c>
      <c r="H5" s="8" t="s">
        <v>38</v>
      </c>
      <c r="I5" s="9"/>
      <c r="J5" s="9" t="s">
        <v>39</v>
      </c>
      <c r="K5" s="10"/>
      <c r="L5" s="9" t="s">
        <v>40</v>
      </c>
      <c r="M5" s="10"/>
      <c r="N5" s="11" t="s">
        <v>43</v>
      </c>
      <c r="O5" s="15" t="s">
        <v>45</v>
      </c>
      <c r="P5" s="9" t="s">
        <v>46</v>
      </c>
      <c r="Q5" s="9"/>
      <c r="R5" s="9" t="s">
        <v>47</v>
      </c>
      <c r="S5" s="10"/>
      <c r="T5" s="9" t="s">
        <v>55</v>
      </c>
      <c r="U5" s="10"/>
      <c r="V5" s="11" t="s">
        <v>50</v>
      </c>
      <c r="W5" s="15" t="s">
        <v>45</v>
      </c>
      <c r="X5" s="9" t="s">
        <v>46</v>
      </c>
      <c r="Y5" s="9"/>
      <c r="Z5" s="9" t="s">
        <v>54</v>
      </c>
      <c r="AA5" s="10"/>
      <c r="AB5" s="9" t="s">
        <v>55</v>
      </c>
      <c r="AC5" s="10"/>
      <c r="AD5" s="11" t="s">
        <v>56</v>
      </c>
    </row>
    <row r="6" spans="2:35" ht="30" customHeight="1" x14ac:dyDescent="0.15">
      <c r="B6" s="43" t="s">
        <v>102</v>
      </c>
      <c r="C6" s="40" t="s">
        <v>93</v>
      </c>
      <c r="D6" s="18">
        <v>2.9550000000000001</v>
      </c>
      <c r="E6" s="19">
        <v>2.468</v>
      </c>
      <c r="F6" s="19">
        <f>1.7*2.85</f>
        <v>4.8449999999999998</v>
      </c>
      <c r="G6" s="20">
        <f t="shared" ref="G6:G27" si="0">D6*E6-F6</f>
        <v>2.44794</v>
      </c>
      <c r="H6" s="53">
        <v>3.4277582000542148</v>
      </c>
      <c r="I6" s="19" t="s">
        <v>1</v>
      </c>
      <c r="J6" s="19">
        <f>G6</f>
        <v>2.44794</v>
      </c>
      <c r="K6" s="19" t="s">
        <v>1</v>
      </c>
      <c r="L6" s="19">
        <v>1</v>
      </c>
      <c r="M6" s="19" t="s">
        <v>2</v>
      </c>
      <c r="N6" s="20">
        <f>H6*J6*L6</f>
        <v>8.3909464082407155</v>
      </c>
      <c r="O6" s="18"/>
      <c r="P6" s="19"/>
      <c r="Q6" s="19" t="s">
        <v>1</v>
      </c>
      <c r="R6" s="19"/>
      <c r="S6" s="19" t="s">
        <v>1</v>
      </c>
      <c r="T6" s="19"/>
      <c r="U6" s="19" t="s">
        <v>2</v>
      </c>
      <c r="V6" s="20"/>
      <c r="W6" s="18"/>
      <c r="X6" s="19"/>
      <c r="Y6" s="19" t="s">
        <v>1</v>
      </c>
      <c r="Z6" s="19"/>
      <c r="AA6" s="19" t="s">
        <v>1</v>
      </c>
      <c r="AB6" s="19"/>
      <c r="AC6" s="19" t="s">
        <v>2</v>
      </c>
      <c r="AD6" s="20"/>
      <c r="AF6" s="57">
        <f>ROUND(H6,3)</f>
        <v>3.4279999999999999</v>
      </c>
      <c r="AG6" s="13">
        <f>J6</f>
        <v>2.44794</v>
      </c>
      <c r="AH6" s="13">
        <f>L6</f>
        <v>1</v>
      </c>
      <c r="AI6" s="13">
        <f>AF6*AG6*AH6</f>
        <v>8.3915383200000004</v>
      </c>
    </row>
    <row r="7" spans="2:35" ht="30" customHeight="1" x14ac:dyDescent="0.15">
      <c r="B7" s="44" t="s">
        <v>101</v>
      </c>
      <c r="C7" s="41" t="s">
        <v>115</v>
      </c>
      <c r="D7" s="29">
        <v>0.78</v>
      </c>
      <c r="E7" s="24">
        <v>0.5</v>
      </c>
      <c r="F7" s="24">
        <v>0</v>
      </c>
      <c r="G7" s="30">
        <f t="shared" si="0"/>
        <v>0.39</v>
      </c>
      <c r="H7" s="54">
        <v>3.3446054031532038</v>
      </c>
      <c r="I7" s="24" t="s">
        <v>1</v>
      </c>
      <c r="J7" s="24">
        <f>G7</f>
        <v>0.39</v>
      </c>
      <c r="K7" s="24" t="s">
        <v>1</v>
      </c>
      <c r="L7" s="24">
        <v>1</v>
      </c>
      <c r="M7" s="24" t="s">
        <v>2</v>
      </c>
      <c r="N7" s="30">
        <f>H7*J7*L7</f>
        <v>1.3043961072297494</v>
      </c>
      <c r="O7" s="29"/>
      <c r="P7" s="24"/>
      <c r="Q7" s="24" t="s">
        <v>1</v>
      </c>
      <c r="R7" s="24"/>
      <c r="S7" s="24" t="s">
        <v>1</v>
      </c>
      <c r="T7" s="24"/>
      <c r="U7" s="24" t="s">
        <v>2</v>
      </c>
      <c r="V7" s="30"/>
      <c r="W7" s="29"/>
      <c r="X7" s="24"/>
      <c r="Y7" s="24" t="s">
        <v>1</v>
      </c>
      <c r="Z7" s="24"/>
      <c r="AA7" s="24" t="s">
        <v>1</v>
      </c>
      <c r="AB7" s="24"/>
      <c r="AC7" s="24" t="s">
        <v>2</v>
      </c>
      <c r="AD7" s="30"/>
      <c r="AF7" s="57">
        <f t="shared" ref="AF7:AF52" si="1">ROUND(H7,3)</f>
        <v>3.3450000000000002</v>
      </c>
      <c r="AG7" s="13">
        <f t="shared" ref="AG7:AG52" si="2">J7</f>
        <v>0.39</v>
      </c>
      <c r="AH7" s="13">
        <f t="shared" ref="AH7:AH52" si="3">L7</f>
        <v>1</v>
      </c>
      <c r="AI7" s="13">
        <f t="shared" ref="AI7:AI52" si="4">AF7*AG7*AH7</f>
        <v>1.3045500000000001</v>
      </c>
    </row>
    <row r="8" spans="2:35" ht="30" customHeight="1" x14ac:dyDescent="0.15">
      <c r="B8" s="44" t="s">
        <v>101</v>
      </c>
      <c r="C8" s="41" t="s">
        <v>93</v>
      </c>
      <c r="D8" s="29">
        <v>0.78</v>
      </c>
      <c r="E8" s="24">
        <v>1.968</v>
      </c>
      <c r="F8" s="24">
        <v>0</v>
      </c>
      <c r="G8" s="30">
        <f t="shared" si="0"/>
        <v>1.53504</v>
      </c>
      <c r="H8" s="54">
        <v>3.4277582000542148</v>
      </c>
      <c r="I8" s="24" t="s">
        <v>1</v>
      </c>
      <c r="J8" s="24">
        <f t="shared" ref="J8:J51" si="5">G8</f>
        <v>1.53504</v>
      </c>
      <c r="K8" s="24" t="s">
        <v>1</v>
      </c>
      <c r="L8" s="24">
        <v>1</v>
      </c>
      <c r="M8" s="24" t="s">
        <v>2</v>
      </c>
      <c r="N8" s="30">
        <f t="shared" ref="N8:N51" si="6">H8*J8*L8</f>
        <v>5.2617459474112218</v>
      </c>
      <c r="O8" s="29"/>
      <c r="P8" s="24"/>
      <c r="Q8" s="24" t="s">
        <v>1</v>
      </c>
      <c r="R8" s="24"/>
      <c r="S8" s="24" t="s">
        <v>1</v>
      </c>
      <c r="T8" s="24"/>
      <c r="U8" s="24" t="s">
        <v>2</v>
      </c>
      <c r="V8" s="30"/>
      <c r="W8" s="29"/>
      <c r="X8" s="24"/>
      <c r="Y8" s="24" t="s">
        <v>1</v>
      </c>
      <c r="Z8" s="24"/>
      <c r="AA8" s="24" t="s">
        <v>1</v>
      </c>
      <c r="AB8" s="24"/>
      <c r="AC8" s="24" t="s">
        <v>2</v>
      </c>
      <c r="AD8" s="30"/>
      <c r="AF8" s="57">
        <f t="shared" si="1"/>
        <v>3.4279999999999999</v>
      </c>
      <c r="AG8" s="13">
        <f t="shared" si="2"/>
        <v>1.53504</v>
      </c>
      <c r="AH8" s="13">
        <f t="shared" si="3"/>
        <v>1</v>
      </c>
      <c r="AI8" s="13">
        <f t="shared" si="4"/>
        <v>5.2621171200000001</v>
      </c>
    </row>
    <row r="9" spans="2:35" ht="30" customHeight="1" x14ac:dyDescent="0.15">
      <c r="B9" s="44" t="s">
        <v>99</v>
      </c>
      <c r="C9" s="41" t="s">
        <v>100</v>
      </c>
      <c r="D9" s="29">
        <v>2.9550000000000001</v>
      </c>
      <c r="E9" s="24">
        <v>2.468</v>
      </c>
      <c r="F9" s="24">
        <v>0</v>
      </c>
      <c r="G9" s="30">
        <f t="shared" si="0"/>
        <v>7.2929399999999998</v>
      </c>
      <c r="H9" s="54">
        <v>2.7263157070849378</v>
      </c>
      <c r="I9" s="24" t="s">
        <v>1</v>
      </c>
      <c r="J9" s="24">
        <f t="shared" si="5"/>
        <v>7.2929399999999998</v>
      </c>
      <c r="K9" s="24" t="s">
        <v>1</v>
      </c>
      <c r="L9" s="24">
        <v>1</v>
      </c>
      <c r="M9" s="24" t="s">
        <v>2</v>
      </c>
      <c r="N9" s="30">
        <f t="shared" si="6"/>
        <v>19.882856872828025</v>
      </c>
      <c r="O9" s="29"/>
      <c r="P9" s="24"/>
      <c r="Q9" s="24" t="s">
        <v>1</v>
      </c>
      <c r="R9" s="24"/>
      <c r="S9" s="24" t="s">
        <v>1</v>
      </c>
      <c r="T9" s="24"/>
      <c r="U9" s="24" t="s">
        <v>2</v>
      </c>
      <c r="V9" s="30"/>
      <c r="W9" s="29"/>
      <c r="X9" s="24"/>
      <c r="Y9" s="24" t="s">
        <v>1</v>
      </c>
      <c r="Z9" s="24"/>
      <c r="AA9" s="24" t="s">
        <v>1</v>
      </c>
      <c r="AB9" s="24"/>
      <c r="AC9" s="24" t="s">
        <v>2</v>
      </c>
      <c r="AD9" s="30"/>
      <c r="AF9" s="57">
        <f t="shared" si="1"/>
        <v>2.726</v>
      </c>
      <c r="AG9" s="13">
        <f t="shared" si="2"/>
        <v>7.2929399999999998</v>
      </c>
      <c r="AH9" s="13">
        <f t="shared" si="3"/>
        <v>1</v>
      </c>
      <c r="AI9" s="13">
        <f t="shared" si="4"/>
        <v>19.880554440000001</v>
      </c>
    </row>
    <row r="10" spans="2:35" ht="30" customHeight="1" x14ac:dyDescent="0.15">
      <c r="B10" s="44" t="s">
        <v>103</v>
      </c>
      <c r="C10" s="41" t="s">
        <v>100</v>
      </c>
      <c r="D10" s="29">
        <v>2.0099999999999998</v>
      </c>
      <c r="E10" s="24">
        <v>2.468</v>
      </c>
      <c r="F10" s="24">
        <v>0</v>
      </c>
      <c r="G10" s="30">
        <f t="shared" si="0"/>
        <v>4.9606799999999991</v>
      </c>
      <c r="H10" s="54">
        <v>2.7263157070849378</v>
      </c>
      <c r="I10" s="24" t="s">
        <v>1</v>
      </c>
      <c r="J10" s="24">
        <f t="shared" si="5"/>
        <v>4.9606799999999991</v>
      </c>
      <c r="K10" s="24" t="s">
        <v>1</v>
      </c>
      <c r="L10" s="24">
        <v>1</v>
      </c>
      <c r="M10" s="24" t="s">
        <v>2</v>
      </c>
      <c r="N10" s="30">
        <f t="shared" si="6"/>
        <v>13.524379801822107</v>
      </c>
      <c r="O10" s="29"/>
      <c r="P10" s="24"/>
      <c r="Q10" s="24" t="s">
        <v>1</v>
      </c>
      <c r="R10" s="24"/>
      <c r="S10" s="24" t="s">
        <v>1</v>
      </c>
      <c r="T10" s="24"/>
      <c r="U10" s="24" t="s">
        <v>2</v>
      </c>
      <c r="V10" s="30"/>
      <c r="W10" s="29"/>
      <c r="X10" s="24"/>
      <c r="Y10" s="24" t="s">
        <v>1</v>
      </c>
      <c r="Z10" s="24"/>
      <c r="AA10" s="24" t="s">
        <v>1</v>
      </c>
      <c r="AB10" s="24"/>
      <c r="AC10" s="24" t="s">
        <v>2</v>
      </c>
      <c r="AD10" s="30"/>
      <c r="AF10" s="57">
        <f t="shared" si="1"/>
        <v>2.726</v>
      </c>
      <c r="AG10" s="13">
        <f t="shared" si="2"/>
        <v>4.9606799999999991</v>
      </c>
      <c r="AH10" s="13">
        <f t="shared" si="3"/>
        <v>1</v>
      </c>
      <c r="AI10" s="13">
        <f t="shared" si="4"/>
        <v>13.522813679999997</v>
      </c>
    </row>
    <row r="11" spans="2:35" ht="30" customHeight="1" x14ac:dyDescent="0.15">
      <c r="B11" s="44" t="s">
        <v>104</v>
      </c>
      <c r="C11" s="41" t="s">
        <v>100</v>
      </c>
      <c r="D11" s="29">
        <v>3.9</v>
      </c>
      <c r="E11" s="24">
        <v>2.468</v>
      </c>
      <c r="F11" s="24">
        <v>0</v>
      </c>
      <c r="G11" s="30">
        <f t="shared" si="0"/>
        <v>9.6251999999999995</v>
      </c>
      <c r="H11" s="54">
        <v>2.7263157070849378</v>
      </c>
      <c r="I11" s="24" t="s">
        <v>1</v>
      </c>
      <c r="J11" s="24">
        <f t="shared" si="5"/>
        <v>9.6251999999999995</v>
      </c>
      <c r="K11" s="24" t="s">
        <v>1</v>
      </c>
      <c r="L11" s="24">
        <v>1</v>
      </c>
      <c r="M11" s="24" t="s">
        <v>2</v>
      </c>
      <c r="N11" s="30">
        <f t="shared" si="6"/>
        <v>26.24133394383394</v>
      </c>
      <c r="O11" s="29"/>
      <c r="P11" s="24"/>
      <c r="Q11" s="24" t="s">
        <v>1</v>
      </c>
      <c r="R11" s="24"/>
      <c r="S11" s="24" t="s">
        <v>1</v>
      </c>
      <c r="T11" s="24"/>
      <c r="U11" s="24" t="s">
        <v>2</v>
      </c>
      <c r="V11" s="30"/>
      <c r="W11" s="29"/>
      <c r="X11" s="24"/>
      <c r="Y11" s="24" t="s">
        <v>1</v>
      </c>
      <c r="Z11" s="24"/>
      <c r="AA11" s="24" t="s">
        <v>1</v>
      </c>
      <c r="AB11" s="24"/>
      <c r="AC11" s="24" t="s">
        <v>2</v>
      </c>
      <c r="AD11" s="30"/>
      <c r="AF11" s="57">
        <f t="shared" si="1"/>
        <v>2.726</v>
      </c>
      <c r="AG11" s="13">
        <f t="shared" si="2"/>
        <v>9.6251999999999995</v>
      </c>
      <c r="AH11" s="13">
        <f t="shared" si="3"/>
        <v>1</v>
      </c>
      <c r="AI11" s="13">
        <f t="shared" si="4"/>
        <v>26.2382952</v>
      </c>
    </row>
    <row r="12" spans="2:35" ht="30" customHeight="1" x14ac:dyDescent="0.15">
      <c r="B12" s="44" t="s">
        <v>105</v>
      </c>
      <c r="C12" s="41" t="s">
        <v>100</v>
      </c>
      <c r="D12" s="29">
        <v>0.69599999999999995</v>
      </c>
      <c r="E12" s="24">
        <v>2.468</v>
      </c>
      <c r="F12" s="24">
        <v>0</v>
      </c>
      <c r="G12" s="30">
        <f t="shared" si="0"/>
        <v>1.7177279999999999</v>
      </c>
      <c r="H12" s="54">
        <v>2.7263157070849378</v>
      </c>
      <c r="I12" s="24" t="s">
        <v>1</v>
      </c>
      <c r="J12" s="24">
        <f t="shared" si="5"/>
        <v>1.7177279999999999</v>
      </c>
      <c r="K12" s="24" t="s">
        <v>1</v>
      </c>
      <c r="L12" s="24">
        <v>1</v>
      </c>
      <c r="M12" s="24" t="s">
        <v>2</v>
      </c>
      <c r="N12" s="30">
        <f t="shared" si="6"/>
        <v>4.6830688268995955</v>
      </c>
      <c r="O12" s="29"/>
      <c r="P12" s="24"/>
      <c r="Q12" s="24" t="s">
        <v>1</v>
      </c>
      <c r="R12" s="24"/>
      <c r="S12" s="24" t="s">
        <v>1</v>
      </c>
      <c r="T12" s="24"/>
      <c r="U12" s="24" t="s">
        <v>2</v>
      </c>
      <c r="V12" s="30"/>
      <c r="W12" s="29"/>
      <c r="X12" s="24"/>
      <c r="Y12" s="24" t="s">
        <v>1</v>
      </c>
      <c r="Z12" s="24"/>
      <c r="AA12" s="24" t="s">
        <v>1</v>
      </c>
      <c r="AB12" s="24"/>
      <c r="AC12" s="24" t="s">
        <v>2</v>
      </c>
      <c r="AD12" s="30"/>
      <c r="AF12" s="57">
        <f t="shared" si="1"/>
        <v>2.726</v>
      </c>
      <c r="AG12" s="13">
        <f t="shared" si="2"/>
        <v>1.7177279999999999</v>
      </c>
      <c r="AH12" s="13">
        <f t="shared" si="3"/>
        <v>1</v>
      </c>
      <c r="AI12" s="13">
        <f t="shared" si="4"/>
        <v>4.6825265279999995</v>
      </c>
    </row>
    <row r="13" spans="2:35" ht="30" customHeight="1" x14ac:dyDescent="0.15">
      <c r="B13" s="44" t="s">
        <v>106</v>
      </c>
      <c r="C13" s="41" t="s">
        <v>94</v>
      </c>
      <c r="D13" s="29">
        <v>0.78</v>
      </c>
      <c r="E13" s="46">
        <v>1.7</v>
      </c>
      <c r="F13" s="24">
        <v>0</v>
      </c>
      <c r="G13" s="30">
        <f t="shared" si="0"/>
        <v>1.3260000000000001</v>
      </c>
      <c r="H13" s="54">
        <v>2.8985507246376816</v>
      </c>
      <c r="I13" s="24" t="s">
        <v>1</v>
      </c>
      <c r="J13" s="24">
        <f t="shared" si="5"/>
        <v>1.3260000000000001</v>
      </c>
      <c r="K13" s="24" t="s">
        <v>1</v>
      </c>
      <c r="L13" s="24">
        <v>1</v>
      </c>
      <c r="M13" s="24" t="s">
        <v>2</v>
      </c>
      <c r="N13" s="30">
        <f t="shared" si="6"/>
        <v>3.8434782608695661</v>
      </c>
      <c r="O13" s="29"/>
      <c r="P13" s="24"/>
      <c r="Q13" s="24" t="s">
        <v>1</v>
      </c>
      <c r="R13" s="24"/>
      <c r="S13" s="24" t="s">
        <v>1</v>
      </c>
      <c r="T13" s="24"/>
      <c r="U13" s="24" t="s">
        <v>2</v>
      </c>
      <c r="V13" s="30"/>
      <c r="W13" s="29"/>
      <c r="X13" s="24"/>
      <c r="Y13" s="24" t="s">
        <v>1</v>
      </c>
      <c r="Z13" s="24"/>
      <c r="AA13" s="24" t="s">
        <v>1</v>
      </c>
      <c r="AB13" s="24"/>
      <c r="AC13" s="24" t="s">
        <v>2</v>
      </c>
      <c r="AD13" s="30"/>
      <c r="AF13" s="57">
        <f t="shared" si="1"/>
        <v>2.899</v>
      </c>
      <c r="AG13" s="13">
        <f t="shared" si="2"/>
        <v>1.3260000000000001</v>
      </c>
      <c r="AH13" s="13">
        <f t="shared" si="3"/>
        <v>1</v>
      </c>
      <c r="AI13" s="13">
        <f t="shared" si="4"/>
        <v>3.8440740000000004</v>
      </c>
    </row>
    <row r="14" spans="2:35" ht="30" customHeight="1" x14ac:dyDescent="0.15">
      <c r="B14" s="44" t="s">
        <v>106</v>
      </c>
      <c r="C14" s="41" t="s">
        <v>93</v>
      </c>
      <c r="D14" s="29">
        <v>0.78</v>
      </c>
      <c r="E14" s="24">
        <f>2.468-1.7</f>
        <v>0.76800000000000002</v>
      </c>
      <c r="F14" s="24">
        <v>0</v>
      </c>
      <c r="G14" s="30">
        <f t="shared" si="0"/>
        <v>0.59904000000000002</v>
      </c>
      <c r="H14" s="54">
        <v>3.4277582000542148</v>
      </c>
      <c r="I14" s="24" t="s">
        <v>1</v>
      </c>
      <c r="J14" s="24">
        <f t="shared" si="5"/>
        <v>0.59904000000000002</v>
      </c>
      <c r="K14" s="24" t="s">
        <v>1</v>
      </c>
      <c r="L14" s="24">
        <v>1</v>
      </c>
      <c r="M14" s="24" t="s">
        <v>2</v>
      </c>
      <c r="N14" s="30">
        <f t="shared" si="6"/>
        <v>2.053364272160477</v>
      </c>
      <c r="O14" s="29"/>
      <c r="P14" s="24"/>
      <c r="Q14" s="24" t="s">
        <v>1</v>
      </c>
      <c r="R14" s="24"/>
      <c r="S14" s="24" t="s">
        <v>1</v>
      </c>
      <c r="T14" s="24"/>
      <c r="U14" s="24" t="s">
        <v>2</v>
      </c>
      <c r="V14" s="30"/>
      <c r="W14" s="29"/>
      <c r="X14" s="24"/>
      <c r="Y14" s="24" t="s">
        <v>1</v>
      </c>
      <c r="Z14" s="24"/>
      <c r="AA14" s="24" t="s">
        <v>1</v>
      </c>
      <c r="AB14" s="24"/>
      <c r="AC14" s="24" t="s">
        <v>2</v>
      </c>
      <c r="AD14" s="30"/>
      <c r="AF14" s="57">
        <f t="shared" si="1"/>
        <v>3.4279999999999999</v>
      </c>
      <c r="AG14" s="13">
        <f t="shared" si="2"/>
        <v>0.59904000000000002</v>
      </c>
      <c r="AH14" s="13">
        <f t="shared" si="3"/>
        <v>1</v>
      </c>
      <c r="AI14" s="13">
        <f t="shared" si="4"/>
        <v>2.0535091200000002</v>
      </c>
    </row>
    <row r="15" spans="2:35" ht="30" customHeight="1" x14ac:dyDescent="0.15">
      <c r="B15" s="44" t="s">
        <v>107</v>
      </c>
      <c r="C15" s="41" t="s">
        <v>93</v>
      </c>
      <c r="D15" s="29">
        <v>1.9</v>
      </c>
      <c r="E15" s="24">
        <f>2.468</f>
        <v>2.468</v>
      </c>
      <c r="F15" s="24">
        <f>1.9*(1.7+0.3)</f>
        <v>3.8</v>
      </c>
      <c r="G15" s="30">
        <f t="shared" si="0"/>
        <v>0.88919999999999977</v>
      </c>
      <c r="H15" s="54">
        <v>3.4277582000542148</v>
      </c>
      <c r="I15" s="24" t="s">
        <v>1</v>
      </c>
      <c r="J15" s="24">
        <f t="shared" si="5"/>
        <v>0.88919999999999977</v>
      </c>
      <c r="K15" s="24" t="s">
        <v>1</v>
      </c>
      <c r="L15" s="24">
        <v>1</v>
      </c>
      <c r="M15" s="24" t="s">
        <v>2</v>
      </c>
      <c r="N15" s="30">
        <f t="shared" si="6"/>
        <v>3.0479625914882069</v>
      </c>
      <c r="O15" s="29"/>
      <c r="P15" s="24"/>
      <c r="Q15" s="24" t="s">
        <v>1</v>
      </c>
      <c r="R15" s="24"/>
      <c r="S15" s="24" t="s">
        <v>1</v>
      </c>
      <c r="T15" s="24"/>
      <c r="U15" s="24" t="s">
        <v>2</v>
      </c>
      <c r="V15" s="30"/>
      <c r="W15" s="29"/>
      <c r="X15" s="24"/>
      <c r="Y15" s="24" t="s">
        <v>1</v>
      </c>
      <c r="Z15" s="24"/>
      <c r="AA15" s="24" t="s">
        <v>1</v>
      </c>
      <c r="AB15" s="24"/>
      <c r="AC15" s="24" t="s">
        <v>2</v>
      </c>
      <c r="AD15" s="30"/>
      <c r="AF15" s="57">
        <f t="shared" si="1"/>
        <v>3.4279999999999999</v>
      </c>
      <c r="AG15" s="13">
        <f t="shared" si="2"/>
        <v>0.88919999999999977</v>
      </c>
      <c r="AH15" s="13">
        <f t="shared" si="3"/>
        <v>1</v>
      </c>
      <c r="AI15" s="13">
        <f t="shared" si="4"/>
        <v>3.0481775999999989</v>
      </c>
    </row>
    <row r="16" spans="2:35" ht="30" customHeight="1" x14ac:dyDescent="0.15">
      <c r="B16" s="44" t="s">
        <v>108</v>
      </c>
      <c r="C16" s="41" t="s">
        <v>98</v>
      </c>
      <c r="D16" s="29">
        <f>2.955-1.9</f>
        <v>1.0550000000000002</v>
      </c>
      <c r="E16" s="24">
        <f>2.468</f>
        <v>2.468</v>
      </c>
      <c r="F16" s="24">
        <v>0</v>
      </c>
      <c r="G16" s="30">
        <f t="shared" si="0"/>
        <v>2.6037400000000002</v>
      </c>
      <c r="H16" s="54">
        <v>2.7263157070849378</v>
      </c>
      <c r="I16" s="24" t="s">
        <v>1</v>
      </c>
      <c r="J16" s="24">
        <f t="shared" si="5"/>
        <v>2.6037400000000002</v>
      </c>
      <c r="K16" s="24" t="s">
        <v>1</v>
      </c>
      <c r="L16" s="24">
        <v>0.15</v>
      </c>
      <c r="M16" s="24" t="s">
        <v>2</v>
      </c>
      <c r="N16" s="30">
        <f t="shared" si="6"/>
        <v>1.0647925888748004</v>
      </c>
      <c r="O16" s="29"/>
      <c r="P16" s="24"/>
      <c r="Q16" s="24" t="s">
        <v>1</v>
      </c>
      <c r="R16" s="24"/>
      <c r="S16" s="24" t="s">
        <v>1</v>
      </c>
      <c r="T16" s="24"/>
      <c r="U16" s="24" t="s">
        <v>2</v>
      </c>
      <c r="V16" s="30"/>
      <c r="W16" s="29"/>
      <c r="X16" s="24"/>
      <c r="Y16" s="24" t="s">
        <v>1</v>
      </c>
      <c r="Z16" s="24"/>
      <c r="AA16" s="24" t="s">
        <v>1</v>
      </c>
      <c r="AB16" s="24"/>
      <c r="AC16" s="24" t="s">
        <v>2</v>
      </c>
      <c r="AD16" s="30"/>
      <c r="AF16" s="57">
        <f t="shared" si="1"/>
        <v>2.726</v>
      </c>
      <c r="AG16" s="13">
        <f t="shared" si="2"/>
        <v>2.6037400000000002</v>
      </c>
      <c r="AH16" s="13">
        <f t="shared" si="3"/>
        <v>0.15</v>
      </c>
      <c r="AI16" s="13">
        <f t="shared" si="4"/>
        <v>1.064669286</v>
      </c>
    </row>
    <row r="17" spans="2:35" ht="30" customHeight="1" x14ac:dyDescent="0.15">
      <c r="B17" s="44" t="s">
        <v>109</v>
      </c>
      <c r="C17" s="41" t="s">
        <v>93</v>
      </c>
      <c r="D17" s="29">
        <v>0.69599999999999995</v>
      </c>
      <c r="E17" s="24">
        <f>2.468</f>
        <v>2.468</v>
      </c>
      <c r="F17" s="24">
        <f>0.59*1.7</f>
        <v>1.0029999999999999</v>
      </c>
      <c r="G17" s="30">
        <f t="shared" si="0"/>
        <v>0.71472800000000003</v>
      </c>
      <c r="H17" s="54">
        <v>3.4277582000542148</v>
      </c>
      <c r="I17" s="24" t="s">
        <v>1</v>
      </c>
      <c r="J17" s="24">
        <f t="shared" si="5"/>
        <v>0.71472800000000003</v>
      </c>
      <c r="K17" s="24" t="s">
        <v>1</v>
      </c>
      <c r="L17" s="24">
        <v>1</v>
      </c>
      <c r="M17" s="24" t="s">
        <v>2</v>
      </c>
      <c r="N17" s="30">
        <f t="shared" si="6"/>
        <v>2.4499147628083491</v>
      </c>
      <c r="O17" s="29"/>
      <c r="P17" s="24"/>
      <c r="Q17" s="24" t="s">
        <v>1</v>
      </c>
      <c r="R17" s="24"/>
      <c r="S17" s="24" t="s">
        <v>1</v>
      </c>
      <c r="T17" s="24"/>
      <c r="U17" s="24" t="s">
        <v>2</v>
      </c>
      <c r="V17" s="30"/>
      <c r="W17" s="29"/>
      <c r="X17" s="24"/>
      <c r="Y17" s="24" t="s">
        <v>1</v>
      </c>
      <c r="Z17" s="24"/>
      <c r="AA17" s="24" t="s">
        <v>1</v>
      </c>
      <c r="AB17" s="24"/>
      <c r="AC17" s="24" t="s">
        <v>2</v>
      </c>
      <c r="AD17" s="30"/>
      <c r="AF17" s="57">
        <f t="shared" si="1"/>
        <v>3.4279999999999999</v>
      </c>
      <c r="AG17" s="13">
        <f t="shared" si="2"/>
        <v>0.71472800000000003</v>
      </c>
      <c r="AH17" s="13">
        <f t="shared" si="3"/>
        <v>1</v>
      </c>
      <c r="AI17" s="13">
        <f t="shared" si="4"/>
        <v>2.4500875840000003</v>
      </c>
    </row>
    <row r="18" spans="2:35" ht="30" customHeight="1" x14ac:dyDescent="0.15">
      <c r="B18" s="44" t="s">
        <v>109</v>
      </c>
      <c r="C18" s="41" t="s">
        <v>130</v>
      </c>
      <c r="D18" s="29">
        <v>0.59</v>
      </c>
      <c r="E18" s="24">
        <v>1.7</v>
      </c>
      <c r="F18" s="24">
        <v>0</v>
      </c>
      <c r="G18" s="30">
        <f t="shared" si="0"/>
        <v>1.0029999999999999</v>
      </c>
      <c r="H18" s="54">
        <v>4.6500000000000004</v>
      </c>
      <c r="I18" s="24" t="s">
        <v>1</v>
      </c>
      <c r="J18" s="24">
        <f t="shared" si="5"/>
        <v>1.0029999999999999</v>
      </c>
      <c r="K18" s="24" t="s">
        <v>1</v>
      </c>
      <c r="L18" s="24">
        <v>1</v>
      </c>
      <c r="M18" s="24" t="s">
        <v>2</v>
      </c>
      <c r="N18" s="30">
        <f t="shared" si="6"/>
        <v>4.6639499999999998</v>
      </c>
      <c r="O18" s="29"/>
      <c r="P18" s="24"/>
      <c r="Q18" s="24" t="s">
        <v>1</v>
      </c>
      <c r="R18" s="24"/>
      <c r="S18" s="24" t="s">
        <v>1</v>
      </c>
      <c r="T18" s="24"/>
      <c r="U18" s="24" t="s">
        <v>2</v>
      </c>
      <c r="V18" s="30"/>
      <c r="W18" s="29"/>
      <c r="X18" s="24"/>
      <c r="Y18" s="24" t="s">
        <v>1</v>
      </c>
      <c r="Z18" s="24"/>
      <c r="AA18" s="24" t="s">
        <v>1</v>
      </c>
      <c r="AB18" s="24"/>
      <c r="AC18" s="24" t="s">
        <v>2</v>
      </c>
      <c r="AD18" s="30"/>
      <c r="AF18" s="57">
        <f t="shared" si="1"/>
        <v>4.6500000000000004</v>
      </c>
      <c r="AG18" s="13">
        <f t="shared" si="2"/>
        <v>1.0029999999999999</v>
      </c>
      <c r="AH18" s="13">
        <f t="shared" si="3"/>
        <v>1</v>
      </c>
      <c r="AI18" s="13">
        <f t="shared" si="4"/>
        <v>4.6639499999999998</v>
      </c>
    </row>
    <row r="19" spans="2:35" ht="30" customHeight="1" x14ac:dyDescent="0.15">
      <c r="B19" s="51" t="s">
        <v>164</v>
      </c>
      <c r="C19" s="52" t="s">
        <v>167</v>
      </c>
      <c r="D19" s="29">
        <f>2.955+2.01</f>
        <v>4.9649999999999999</v>
      </c>
      <c r="E19" s="24">
        <v>0.45</v>
      </c>
      <c r="F19" s="24">
        <v>0</v>
      </c>
      <c r="G19" s="30">
        <f t="shared" si="0"/>
        <v>2.2342499999999998</v>
      </c>
      <c r="H19" s="54">
        <v>3.3898305084745766</v>
      </c>
      <c r="I19" s="24" t="s">
        <v>1</v>
      </c>
      <c r="J19" s="24">
        <f t="shared" si="5"/>
        <v>2.2342499999999998</v>
      </c>
      <c r="K19" s="24" t="s">
        <v>1</v>
      </c>
      <c r="L19" s="24">
        <v>0.7</v>
      </c>
      <c r="M19" s="24" t="s">
        <v>2</v>
      </c>
      <c r="N19" s="30">
        <f t="shared" si="6"/>
        <v>5.301610169491525</v>
      </c>
      <c r="O19" s="29"/>
      <c r="P19" s="24"/>
      <c r="Q19" s="24" t="s">
        <v>1</v>
      </c>
      <c r="R19" s="24"/>
      <c r="S19" s="24" t="s">
        <v>1</v>
      </c>
      <c r="T19" s="24"/>
      <c r="U19" s="24" t="s">
        <v>2</v>
      </c>
      <c r="V19" s="30"/>
      <c r="W19" s="29"/>
      <c r="X19" s="24"/>
      <c r="Y19" s="24" t="s">
        <v>1</v>
      </c>
      <c r="Z19" s="24"/>
      <c r="AA19" s="24" t="s">
        <v>1</v>
      </c>
      <c r="AB19" s="24"/>
      <c r="AC19" s="24" t="s">
        <v>2</v>
      </c>
      <c r="AD19" s="30"/>
      <c r="AF19" s="57">
        <f t="shared" si="1"/>
        <v>3.39</v>
      </c>
      <c r="AG19" s="13">
        <f t="shared" si="2"/>
        <v>2.2342499999999998</v>
      </c>
      <c r="AH19" s="13">
        <f t="shared" si="3"/>
        <v>0.7</v>
      </c>
      <c r="AI19" s="13">
        <f t="shared" si="4"/>
        <v>5.3018752499999993</v>
      </c>
    </row>
    <row r="20" spans="2:35" ht="30" customHeight="1" x14ac:dyDescent="0.15">
      <c r="B20" s="51" t="s">
        <v>165</v>
      </c>
      <c r="C20" s="52" t="s">
        <v>166</v>
      </c>
      <c r="D20" s="29">
        <f>3.9</f>
        <v>3.9</v>
      </c>
      <c r="E20" s="24">
        <v>0.45</v>
      </c>
      <c r="F20" s="24">
        <v>0</v>
      </c>
      <c r="G20" s="30">
        <f t="shared" si="0"/>
        <v>1.7549999999999999</v>
      </c>
      <c r="H20" s="54">
        <v>2.7263157070849378</v>
      </c>
      <c r="I20" s="24" t="s">
        <v>1</v>
      </c>
      <c r="J20" s="24">
        <f t="shared" si="5"/>
        <v>1.7549999999999999</v>
      </c>
      <c r="K20" s="24" t="s">
        <v>1</v>
      </c>
      <c r="L20" s="24">
        <v>0.7</v>
      </c>
      <c r="M20" s="24" t="s">
        <v>2</v>
      </c>
      <c r="N20" s="30">
        <f t="shared" si="6"/>
        <v>3.3492788461538456</v>
      </c>
      <c r="O20" s="29"/>
      <c r="P20" s="24"/>
      <c r="Q20" s="24" t="s">
        <v>1</v>
      </c>
      <c r="R20" s="24"/>
      <c r="S20" s="24" t="s">
        <v>1</v>
      </c>
      <c r="T20" s="24"/>
      <c r="U20" s="24" t="s">
        <v>2</v>
      </c>
      <c r="V20" s="30"/>
      <c r="W20" s="29"/>
      <c r="X20" s="24"/>
      <c r="Y20" s="24" t="s">
        <v>1</v>
      </c>
      <c r="Z20" s="24"/>
      <c r="AA20" s="24" t="s">
        <v>1</v>
      </c>
      <c r="AB20" s="24"/>
      <c r="AC20" s="24" t="s">
        <v>2</v>
      </c>
      <c r="AD20" s="30"/>
      <c r="AF20" s="57">
        <f t="shared" si="1"/>
        <v>2.726</v>
      </c>
      <c r="AG20" s="13">
        <f t="shared" si="2"/>
        <v>1.7549999999999999</v>
      </c>
      <c r="AH20" s="13">
        <f t="shared" si="3"/>
        <v>0.7</v>
      </c>
      <c r="AI20" s="13">
        <f t="shared" si="4"/>
        <v>3.3488909999999992</v>
      </c>
    </row>
    <row r="21" spans="2:35" ht="30" customHeight="1" x14ac:dyDescent="0.15">
      <c r="B21" s="44" t="s">
        <v>110</v>
      </c>
      <c r="C21" s="41" t="s">
        <v>93</v>
      </c>
      <c r="D21" s="29">
        <v>1.47</v>
      </c>
      <c r="E21" s="24">
        <v>2.9180000000000001</v>
      </c>
      <c r="F21" s="24">
        <f>1.365*1.7</f>
        <v>2.3205</v>
      </c>
      <c r="G21" s="30">
        <f t="shared" si="0"/>
        <v>1.96896</v>
      </c>
      <c r="H21" s="54">
        <v>3.4277582000542148</v>
      </c>
      <c r="I21" s="24" t="s">
        <v>1</v>
      </c>
      <c r="J21" s="24">
        <f t="shared" si="5"/>
        <v>1.96896</v>
      </c>
      <c r="K21" s="24" t="s">
        <v>1</v>
      </c>
      <c r="L21" s="24">
        <v>1</v>
      </c>
      <c r="M21" s="24" t="s">
        <v>2</v>
      </c>
      <c r="N21" s="30">
        <f t="shared" si="6"/>
        <v>6.7491187855787471</v>
      </c>
      <c r="O21" s="29"/>
      <c r="P21" s="24"/>
      <c r="Q21" s="24" t="s">
        <v>1</v>
      </c>
      <c r="R21" s="24"/>
      <c r="S21" s="24" t="s">
        <v>1</v>
      </c>
      <c r="T21" s="24"/>
      <c r="U21" s="24" t="s">
        <v>2</v>
      </c>
      <c r="V21" s="30"/>
      <c r="W21" s="29"/>
      <c r="X21" s="24"/>
      <c r="Y21" s="24" t="s">
        <v>1</v>
      </c>
      <c r="Z21" s="24"/>
      <c r="AA21" s="24" t="s">
        <v>1</v>
      </c>
      <c r="AB21" s="24"/>
      <c r="AC21" s="24" t="s">
        <v>2</v>
      </c>
      <c r="AD21" s="30"/>
      <c r="AF21" s="57">
        <f t="shared" si="1"/>
        <v>3.4279999999999999</v>
      </c>
      <c r="AG21" s="13">
        <f t="shared" si="2"/>
        <v>1.96896</v>
      </c>
      <c r="AH21" s="13">
        <f t="shared" si="3"/>
        <v>1</v>
      </c>
      <c r="AI21" s="13">
        <f t="shared" si="4"/>
        <v>6.7495948800000001</v>
      </c>
    </row>
    <row r="22" spans="2:35" ht="30" customHeight="1" x14ac:dyDescent="0.15">
      <c r="B22" s="44" t="s">
        <v>111</v>
      </c>
      <c r="C22" s="41" t="s">
        <v>93</v>
      </c>
      <c r="D22" s="29">
        <f>2.955+2.01+3.9</f>
        <v>8.8650000000000002</v>
      </c>
      <c r="E22" s="24">
        <v>2.9180000000000001</v>
      </c>
      <c r="F22" s="24">
        <v>0</v>
      </c>
      <c r="G22" s="30">
        <f t="shared" si="0"/>
        <v>25.868070000000003</v>
      </c>
      <c r="H22" s="54">
        <v>3.4277582000542148</v>
      </c>
      <c r="I22" s="24" t="s">
        <v>1</v>
      </c>
      <c r="J22" s="24">
        <f t="shared" si="5"/>
        <v>25.868070000000003</v>
      </c>
      <c r="K22" s="24" t="s">
        <v>1</v>
      </c>
      <c r="L22" s="24">
        <v>1</v>
      </c>
      <c r="M22" s="24" t="s">
        <v>2</v>
      </c>
      <c r="N22" s="30">
        <f t="shared" si="6"/>
        <v>88.669489062076437</v>
      </c>
      <c r="O22" s="29"/>
      <c r="P22" s="24"/>
      <c r="Q22" s="24" t="s">
        <v>1</v>
      </c>
      <c r="R22" s="24"/>
      <c r="S22" s="24" t="s">
        <v>1</v>
      </c>
      <c r="T22" s="24"/>
      <c r="U22" s="24" t="s">
        <v>2</v>
      </c>
      <c r="V22" s="30"/>
      <c r="W22" s="29"/>
      <c r="X22" s="24"/>
      <c r="Y22" s="24" t="s">
        <v>1</v>
      </c>
      <c r="Z22" s="24"/>
      <c r="AA22" s="24" t="s">
        <v>1</v>
      </c>
      <c r="AB22" s="24"/>
      <c r="AC22" s="24" t="s">
        <v>2</v>
      </c>
      <c r="AD22" s="30"/>
      <c r="AF22" s="57">
        <f t="shared" si="1"/>
        <v>3.4279999999999999</v>
      </c>
      <c r="AG22" s="13">
        <f t="shared" si="2"/>
        <v>25.868070000000003</v>
      </c>
      <c r="AH22" s="13">
        <f t="shared" si="3"/>
        <v>1</v>
      </c>
      <c r="AI22" s="13">
        <f t="shared" si="4"/>
        <v>88.675743960000005</v>
      </c>
    </row>
    <row r="23" spans="2:35" ht="30" customHeight="1" x14ac:dyDescent="0.15">
      <c r="B23" s="44" t="s">
        <v>112</v>
      </c>
      <c r="C23" s="41" t="s">
        <v>113</v>
      </c>
      <c r="D23" s="29">
        <v>1.47</v>
      </c>
      <c r="E23" s="24">
        <v>0.95</v>
      </c>
      <c r="F23" s="24">
        <f>0.95*0.95</f>
        <v>0.90249999999999997</v>
      </c>
      <c r="G23" s="30">
        <f t="shared" si="0"/>
        <v>0.49399999999999988</v>
      </c>
      <c r="H23" s="54">
        <v>3.3446054031532038</v>
      </c>
      <c r="I23" s="24" t="s">
        <v>1</v>
      </c>
      <c r="J23" s="24">
        <f t="shared" si="5"/>
        <v>0.49399999999999988</v>
      </c>
      <c r="K23" s="24" t="s">
        <v>1</v>
      </c>
      <c r="L23" s="24">
        <v>1</v>
      </c>
      <c r="M23" s="24" t="s">
        <v>2</v>
      </c>
      <c r="N23" s="30">
        <f t="shared" si="6"/>
        <v>1.6522350691576824</v>
      </c>
      <c r="O23" s="29"/>
      <c r="P23" s="24"/>
      <c r="Q23" s="24" t="s">
        <v>1</v>
      </c>
      <c r="R23" s="24"/>
      <c r="S23" s="24" t="s">
        <v>1</v>
      </c>
      <c r="T23" s="24"/>
      <c r="U23" s="24" t="s">
        <v>2</v>
      </c>
      <c r="V23" s="30"/>
      <c r="W23" s="29"/>
      <c r="X23" s="24"/>
      <c r="Y23" s="24" t="s">
        <v>1</v>
      </c>
      <c r="Z23" s="24"/>
      <c r="AA23" s="24" t="s">
        <v>1</v>
      </c>
      <c r="AB23" s="24"/>
      <c r="AC23" s="24" t="s">
        <v>2</v>
      </c>
      <c r="AD23" s="30"/>
      <c r="AF23" s="57">
        <f t="shared" si="1"/>
        <v>3.3450000000000002</v>
      </c>
      <c r="AG23" s="13">
        <f t="shared" si="2"/>
        <v>0.49399999999999988</v>
      </c>
      <c r="AH23" s="13">
        <f t="shared" si="3"/>
        <v>1</v>
      </c>
      <c r="AI23" s="13">
        <f t="shared" si="4"/>
        <v>1.6524299999999996</v>
      </c>
    </row>
    <row r="24" spans="2:35" ht="30" customHeight="1" x14ac:dyDescent="0.15">
      <c r="B24" s="44" t="s">
        <v>112</v>
      </c>
      <c r="C24" s="41" t="s">
        <v>93</v>
      </c>
      <c r="D24" s="29">
        <v>1.47</v>
      </c>
      <c r="E24" s="24">
        <f>2.918-0.95</f>
        <v>1.9680000000000002</v>
      </c>
      <c r="F24" s="24">
        <f>0.95*(1.7-0.95)</f>
        <v>0.71249999999999991</v>
      </c>
      <c r="G24" s="30">
        <f t="shared" si="0"/>
        <v>2.1804600000000005</v>
      </c>
      <c r="H24" s="54">
        <v>3.4277582000542148</v>
      </c>
      <c r="I24" s="24" t="s">
        <v>1</v>
      </c>
      <c r="J24" s="24">
        <f t="shared" si="5"/>
        <v>2.1804600000000005</v>
      </c>
      <c r="K24" s="24" t="s">
        <v>1</v>
      </c>
      <c r="L24" s="24">
        <v>1</v>
      </c>
      <c r="M24" s="24" t="s">
        <v>2</v>
      </c>
      <c r="N24" s="30">
        <f t="shared" si="6"/>
        <v>7.4740896448902152</v>
      </c>
      <c r="O24" s="29"/>
      <c r="P24" s="24"/>
      <c r="Q24" s="24" t="s">
        <v>1</v>
      </c>
      <c r="R24" s="24"/>
      <c r="S24" s="24" t="s">
        <v>1</v>
      </c>
      <c r="T24" s="24"/>
      <c r="U24" s="24" t="s">
        <v>2</v>
      </c>
      <c r="V24" s="30"/>
      <c r="W24" s="29"/>
      <c r="X24" s="24"/>
      <c r="Y24" s="24" t="s">
        <v>1</v>
      </c>
      <c r="Z24" s="24"/>
      <c r="AA24" s="24" t="s">
        <v>1</v>
      </c>
      <c r="AB24" s="24"/>
      <c r="AC24" s="24" t="s">
        <v>2</v>
      </c>
      <c r="AD24" s="30"/>
      <c r="AF24" s="57">
        <f t="shared" si="1"/>
        <v>3.4279999999999999</v>
      </c>
      <c r="AG24" s="13">
        <f t="shared" si="2"/>
        <v>2.1804600000000005</v>
      </c>
      <c r="AH24" s="13">
        <f t="shared" si="3"/>
        <v>1</v>
      </c>
      <c r="AI24" s="13">
        <f t="shared" si="4"/>
        <v>7.4746168800000019</v>
      </c>
    </row>
    <row r="25" spans="2:35" ht="30" customHeight="1" x14ac:dyDescent="0.15">
      <c r="B25" s="44" t="s">
        <v>116</v>
      </c>
      <c r="C25" s="41" t="s">
        <v>93</v>
      </c>
      <c r="D25" s="29">
        <v>2.9550000000000001</v>
      </c>
      <c r="E25" s="24">
        <v>2.1819999999999999</v>
      </c>
      <c r="F25" s="24">
        <f>2.85*1.3</f>
        <v>3.7050000000000001</v>
      </c>
      <c r="G25" s="30">
        <f t="shared" si="0"/>
        <v>2.7428099999999995</v>
      </c>
      <c r="H25" s="54">
        <v>3.4277582000542148</v>
      </c>
      <c r="I25" s="24" t="s">
        <v>1</v>
      </c>
      <c r="J25" s="24">
        <f t="shared" si="5"/>
        <v>2.7428099999999995</v>
      </c>
      <c r="K25" s="24" t="s">
        <v>1</v>
      </c>
      <c r="L25" s="24">
        <v>1</v>
      </c>
      <c r="M25" s="24" t="s">
        <v>2</v>
      </c>
      <c r="N25" s="30">
        <f t="shared" si="6"/>
        <v>9.4016894686906998</v>
      </c>
      <c r="O25" s="29"/>
      <c r="P25" s="24"/>
      <c r="Q25" s="24" t="s">
        <v>1</v>
      </c>
      <c r="R25" s="24"/>
      <c r="S25" s="24" t="s">
        <v>1</v>
      </c>
      <c r="T25" s="24"/>
      <c r="U25" s="24" t="s">
        <v>2</v>
      </c>
      <c r="V25" s="30"/>
      <c r="W25" s="29"/>
      <c r="X25" s="24"/>
      <c r="Y25" s="24" t="s">
        <v>1</v>
      </c>
      <c r="Z25" s="24"/>
      <c r="AA25" s="24" t="s">
        <v>1</v>
      </c>
      <c r="AB25" s="24"/>
      <c r="AC25" s="24" t="s">
        <v>2</v>
      </c>
      <c r="AD25" s="30"/>
      <c r="AF25" s="57">
        <f t="shared" si="1"/>
        <v>3.4279999999999999</v>
      </c>
      <c r="AG25" s="13">
        <f t="shared" si="2"/>
        <v>2.7428099999999995</v>
      </c>
      <c r="AH25" s="13">
        <f t="shared" si="3"/>
        <v>1</v>
      </c>
      <c r="AI25" s="13">
        <f t="shared" si="4"/>
        <v>9.4023526799999981</v>
      </c>
    </row>
    <row r="26" spans="2:35" ht="30" customHeight="1" x14ac:dyDescent="0.15">
      <c r="B26" s="44" t="s">
        <v>117</v>
      </c>
      <c r="C26" s="41" t="s">
        <v>93</v>
      </c>
      <c r="D26" s="29">
        <v>0.78</v>
      </c>
      <c r="E26" s="24">
        <f>2.182-1.3</f>
        <v>0.8819999999999999</v>
      </c>
      <c r="F26" s="24">
        <v>0</v>
      </c>
      <c r="G26" s="30">
        <f t="shared" si="0"/>
        <v>0.6879599999999999</v>
      </c>
      <c r="H26" s="54">
        <v>3.4277582000542148</v>
      </c>
      <c r="I26" s="24" t="s">
        <v>1</v>
      </c>
      <c r="J26" s="24">
        <f t="shared" si="5"/>
        <v>0.6879599999999999</v>
      </c>
      <c r="K26" s="24" t="s">
        <v>1</v>
      </c>
      <c r="L26" s="24">
        <v>1</v>
      </c>
      <c r="M26" s="24" t="s">
        <v>2</v>
      </c>
      <c r="N26" s="30">
        <f t="shared" si="6"/>
        <v>2.3581605313092973</v>
      </c>
      <c r="O26" s="29"/>
      <c r="P26" s="24"/>
      <c r="Q26" s="24" t="s">
        <v>1</v>
      </c>
      <c r="R26" s="24"/>
      <c r="S26" s="24" t="s">
        <v>1</v>
      </c>
      <c r="T26" s="24"/>
      <c r="U26" s="24" t="s">
        <v>2</v>
      </c>
      <c r="V26" s="30"/>
      <c r="W26" s="29"/>
      <c r="X26" s="24"/>
      <c r="Y26" s="24" t="s">
        <v>1</v>
      </c>
      <c r="Z26" s="24"/>
      <c r="AA26" s="24" t="s">
        <v>1</v>
      </c>
      <c r="AB26" s="24"/>
      <c r="AC26" s="24" t="s">
        <v>2</v>
      </c>
      <c r="AD26" s="30"/>
      <c r="AF26" s="57">
        <f t="shared" si="1"/>
        <v>3.4279999999999999</v>
      </c>
      <c r="AG26" s="13">
        <f t="shared" si="2"/>
        <v>0.6879599999999999</v>
      </c>
      <c r="AH26" s="13">
        <f t="shared" si="3"/>
        <v>1</v>
      </c>
      <c r="AI26" s="13">
        <f t="shared" si="4"/>
        <v>2.3583268799999995</v>
      </c>
    </row>
    <row r="27" spans="2:35" ht="30" customHeight="1" x14ac:dyDescent="0.15">
      <c r="B27" s="44" t="s">
        <v>117</v>
      </c>
      <c r="C27" s="41" t="s">
        <v>94</v>
      </c>
      <c r="D27" s="29">
        <v>0.78</v>
      </c>
      <c r="E27" s="24">
        <v>1.3</v>
      </c>
      <c r="F27" s="24">
        <v>0</v>
      </c>
      <c r="G27" s="30">
        <f t="shared" si="0"/>
        <v>1.014</v>
      </c>
      <c r="H27" s="54">
        <v>2.8985507246376816</v>
      </c>
      <c r="I27" s="24" t="s">
        <v>1</v>
      </c>
      <c r="J27" s="24">
        <f t="shared" si="5"/>
        <v>1.014</v>
      </c>
      <c r="K27" s="24" t="s">
        <v>1</v>
      </c>
      <c r="L27" s="24">
        <v>1</v>
      </c>
      <c r="M27" s="24" t="s">
        <v>2</v>
      </c>
      <c r="N27" s="30">
        <f t="shared" si="6"/>
        <v>2.939130434782609</v>
      </c>
      <c r="O27" s="29"/>
      <c r="P27" s="24"/>
      <c r="Q27" s="24" t="s">
        <v>1</v>
      </c>
      <c r="R27" s="24"/>
      <c r="S27" s="24" t="s">
        <v>1</v>
      </c>
      <c r="T27" s="24"/>
      <c r="U27" s="24" t="s">
        <v>2</v>
      </c>
      <c r="V27" s="30"/>
      <c r="W27" s="29"/>
      <c r="X27" s="24"/>
      <c r="Y27" s="24" t="s">
        <v>1</v>
      </c>
      <c r="Z27" s="24"/>
      <c r="AA27" s="24" t="s">
        <v>1</v>
      </c>
      <c r="AB27" s="24"/>
      <c r="AC27" s="24" t="s">
        <v>2</v>
      </c>
      <c r="AD27" s="30"/>
      <c r="AF27" s="57">
        <f t="shared" si="1"/>
        <v>2.899</v>
      </c>
      <c r="AG27" s="13">
        <f t="shared" si="2"/>
        <v>1.014</v>
      </c>
      <c r="AH27" s="13">
        <f t="shared" si="3"/>
        <v>1</v>
      </c>
      <c r="AI27" s="13">
        <f t="shared" si="4"/>
        <v>2.9395860000000003</v>
      </c>
    </row>
    <row r="28" spans="2:35" ht="30" customHeight="1" x14ac:dyDescent="0.15">
      <c r="B28" s="44" t="s">
        <v>118</v>
      </c>
      <c r="C28" s="41" t="s">
        <v>100</v>
      </c>
      <c r="D28" s="29">
        <v>2.9550000000000001</v>
      </c>
      <c r="E28" s="24">
        <v>2.1819999999999999</v>
      </c>
      <c r="F28" s="24">
        <v>0</v>
      </c>
      <c r="G28" s="30">
        <f t="shared" ref="G28:G44" si="7">D28*E28-F28</f>
        <v>6.4478099999999996</v>
      </c>
      <c r="H28" s="54">
        <v>2.7263157070849378</v>
      </c>
      <c r="I28" s="24" t="s">
        <v>1</v>
      </c>
      <c r="J28" s="24">
        <f t="shared" si="5"/>
        <v>6.4478099999999996</v>
      </c>
      <c r="K28" s="24" t="s">
        <v>1</v>
      </c>
      <c r="L28" s="24">
        <v>1</v>
      </c>
      <c r="M28" s="24" t="s">
        <v>2</v>
      </c>
      <c r="N28" s="30">
        <f t="shared" si="6"/>
        <v>17.57876567929933</v>
      </c>
      <c r="O28" s="29"/>
      <c r="P28" s="24"/>
      <c r="Q28" s="24" t="s">
        <v>1</v>
      </c>
      <c r="R28" s="24"/>
      <c r="S28" s="24" t="s">
        <v>1</v>
      </c>
      <c r="T28" s="24"/>
      <c r="U28" s="24" t="s">
        <v>2</v>
      </c>
      <c r="V28" s="30"/>
      <c r="W28" s="29"/>
      <c r="X28" s="24"/>
      <c r="Y28" s="24" t="s">
        <v>1</v>
      </c>
      <c r="Z28" s="24"/>
      <c r="AA28" s="24" t="s">
        <v>1</v>
      </c>
      <c r="AB28" s="24"/>
      <c r="AC28" s="24" t="s">
        <v>2</v>
      </c>
      <c r="AD28" s="30"/>
      <c r="AF28" s="57">
        <f t="shared" si="1"/>
        <v>2.726</v>
      </c>
      <c r="AG28" s="13">
        <f t="shared" si="2"/>
        <v>6.4478099999999996</v>
      </c>
      <c r="AH28" s="13">
        <f t="shared" si="3"/>
        <v>1</v>
      </c>
      <c r="AI28" s="13">
        <f t="shared" si="4"/>
        <v>17.576730059999999</v>
      </c>
    </row>
    <row r="29" spans="2:35" ht="30" customHeight="1" x14ac:dyDescent="0.15">
      <c r="B29" s="44" t="s">
        <v>119</v>
      </c>
      <c r="C29" s="41" t="s">
        <v>100</v>
      </c>
      <c r="D29" s="29">
        <v>2.0099999999999998</v>
      </c>
      <c r="E29" s="24">
        <v>2.1819999999999999</v>
      </c>
      <c r="F29" s="24">
        <v>0</v>
      </c>
      <c r="G29" s="30">
        <f t="shared" si="7"/>
        <v>4.3858199999999998</v>
      </c>
      <c r="H29" s="54">
        <v>2.7263157070849378</v>
      </c>
      <c r="I29" s="24" t="s">
        <v>1</v>
      </c>
      <c r="J29" s="24">
        <f t="shared" si="5"/>
        <v>4.3858199999999998</v>
      </c>
      <c r="K29" s="24" t="s">
        <v>1</v>
      </c>
      <c r="L29" s="24">
        <v>1</v>
      </c>
      <c r="M29" s="24" t="s">
        <v>2</v>
      </c>
      <c r="N29" s="30">
        <f t="shared" si="6"/>
        <v>11.957129954447261</v>
      </c>
      <c r="O29" s="29"/>
      <c r="P29" s="24"/>
      <c r="Q29" s="24" t="s">
        <v>1</v>
      </c>
      <c r="R29" s="24"/>
      <c r="S29" s="24" t="s">
        <v>1</v>
      </c>
      <c r="T29" s="24"/>
      <c r="U29" s="24" t="s">
        <v>2</v>
      </c>
      <c r="V29" s="30"/>
      <c r="W29" s="29"/>
      <c r="X29" s="24"/>
      <c r="Y29" s="24" t="s">
        <v>1</v>
      </c>
      <c r="Z29" s="24"/>
      <c r="AA29" s="24" t="s">
        <v>1</v>
      </c>
      <c r="AB29" s="24"/>
      <c r="AC29" s="24" t="s">
        <v>2</v>
      </c>
      <c r="AD29" s="30"/>
      <c r="AF29" s="57">
        <f t="shared" si="1"/>
        <v>2.726</v>
      </c>
      <c r="AG29" s="13">
        <f t="shared" si="2"/>
        <v>4.3858199999999998</v>
      </c>
      <c r="AH29" s="13">
        <f t="shared" si="3"/>
        <v>1</v>
      </c>
      <c r="AI29" s="13">
        <f t="shared" si="4"/>
        <v>11.95574532</v>
      </c>
    </row>
    <row r="30" spans="2:35" ht="30" customHeight="1" x14ac:dyDescent="0.15">
      <c r="B30" s="44" t="s">
        <v>120</v>
      </c>
      <c r="C30" s="41" t="s">
        <v>100</v>
      </c>
      <c r="D30" s="29">
        <v>3.9</v>
      </c>
      <c r="E30" s="24">
        <v>2.1819999999999999</v>
      </c>
      <c r="F30" s="24">
        <v>0</v>
      </c>
      <c r="G30" s="30">
        <f t="shared" si="7"/>
        <v>8.5098000000000003</v>
      </c>
      <c r="H30" s="54">
        <v>2.7263157070849378</v>
      </c>
      <c r="I30" s="24" t="s">
        <v>1</v>
      </c>
      <c r="J30" s="24">
        <f t="shared" si="5"/>
        <v>8.5098000000000003</v>
      </c>
      <c r="K30" s="24" t="s">
        <v>1</v>
      </c>
      <c r="L30" s="24">
        <v>1</v>
      </c>
      <c r="M30" s="24" t="s">
        <v>2</v>
      </c>
      <c r="N30" s="30">
        <f t="shared" si="6"/>
        <v>23.200401404151403</v>
      </c>
      <c r="O30" s="29"/>
      <c r="P30" s="24"/>
      <c r="Q30" s="24" t="s">
        <v>1</v>
      </c>
      <c r="R30" s="24"/>
      <c r="S30" s="24" t="s">
        <v>1</v>
      </c>
      <c r="T30" s="24"/>
      <c r="U30" s="24" t="s">
        <v>2</v>
      </c>
      <c r="V30" s="30"/>
      <c r="W30" s="29"/>
      <c r="X30" s="24"/>
      <c r="Y30" s="24" t="s">
        <v>1</v>
      </c>
      <c r="Z30" s="24"/>
      <c r="AA30" s="24" t="s">
        <v>1</v>
      </c>
      <c r="AB30" s="24"/>
      <c r="AC30" s="24" t="s">
        <v>2</v>
      </c>
      <c r="AD30" s="30"/>
      <c r="AF30" s="57">
        <f t="shared" si="1"/>
        <v>2.726</v>
      </c>
      <c r="AG30" s="13">
        <f t="shared" si="2"/>
        <v>8.5098000000000003</v>
      </c>
      <c r="AH30" s="13">
        <f t="shared" si="3"/>
        <v>1</v>
      </c>
      <c r="AI30" s="13">
        <f t="shared" si="4"/>
        <v>23.1977148</v>
      </c>
    </row>
    <row r="31" spans="2:35" ht="30" customHeight="1" x14ac:dyDescent="0.15">
      <c r="B31" s="44" t="s">
        <v>121</v>
      </c>
      <c r="C31" s="41" t="s">
        <v>100</v>
      </c>
      <c r="D31" s="29">
        <v>0.69599999999999995</v>
      </c>
      <c r="E31" s="24">
        <v>2.1819999999999999</v>
      </c>
      <c r="F31" s="24">
        <v>0</v>
      </c>
      <c r="G31" s="30">
        <f t="shared" si="7"/>
        <v>1.5186719999999998</v>
      </c>
      <c r="H31" s="54">
        <v>2.7263157070849378</v>
      </c>
      <c r="I31" s="24" t="s">
        <v>1</v>
      </c>
      <c r="J31" s="24">
        <f t="shared" si="5"/>
        <v>1.5186719999999998</v>
      </c>
      <c r="K31" s="24" t="s">
        <v>1</v>
      </c>
      <c r="L31" s="24">
        <v>1</v>
      </c>
      <c r="M31" s="24" t="s">
        <v>2</v>
      </c>
      <c r="N31" s="30">
        <f t="shared" si="6"/>
        <v>4.1403793275100957</v>
      </c>
      <c r="O31" s="29"/>
      <c r="P31" s="24"/>
      <c r="Q31" s="24" t="s">
        <v>1</v>
      </c>
      <c r="R31" s="24"/>
      <c r="S31" s="24" t="s">
        <v>1</v>
      </c>
      <c r="T31" s="24"/>
      <c r="U31" s="24" t="s">
        <v>2</v>
      </c>
      <c r="V31" s="30"/>
      <c r="W31" s="29"/>
      <c r="X31" s="24"/>
      <c r="Y31" s="24" t="s">
        <v>1</v>
      </c>
      <c r="Z31" s="24"/>
      <c r="AA31" s="24" t="s">
        <v>1</v>
      </c>
      <c r="AB31" s="24"/>
      <c r="AC31" s="24" t="s">
        <v>2</v>
      </c>
      <c r="AD31" s="30"/>
      <c r="AF31" s="57">
        <f t="shared" si="1"/>
        <v>2.726</v>
      </c>
      <c r="AG31" s="13">
        <f t="shared" si="2"/>
        <v>1.5186719999999998</v>
      </c>
      <c r="AH31" s="13">
        <f t="shared" si="3"/>
        <v>1</v>
      </c>
      <c r="AI31" s="13">
        <f t="shared" si="4"/>
        <v>4.1398998719999991</v>
      </c>
    </row>
    <row r="32" spans="2:35" ht="30" customHeight="1" x14ac:dyDescent="0.15">
      <c r="B32" s="44" t="s">
        <v>123</v>
      </c>
      <c r="C32" s="41" t="s">
        <v>93</v>
      </c>
      <c r="D32" s="29">
        <v>0.78</v>
      </c>
      <c r="E32" s="24">
        <f>2.182-1.3</f>
        <v>0.8819999999999999</v>
      </c>
      <c r="F32" s="24">
        <v>0</v>
      </c>
      <c r="G32" s="30">
        <f t="shared" si="7"/>
        <v>0.6879599999999999</v>
      </c>
      <c r="H32" s="54">
        <v>3.4277582000542148</v>
      </c>
      <c r="I32" s="24" t="s">
        <v>1</v>
      </c>
      <c r="J32" s="24">
        <f t="shared" si="5"/>
        <v>0.6879599999999999</v>
      </c>
      <c r="K32" s="24" t="s">
        <v>1</v>
      </c>
      <c r="L32" s="24">
        <v>1</v>
      </c>
      <c r="M32" s="24" t="s">
        <v>2</v>
      </c>
      <c r="N32" s="30">
        <f t="shared" si="6"/>
        <v>2.3581605313092973</v>
      </c>
      <c r="O32" s="29"/>
      <c r="P32" s="24"/>
      <c r="Q32" s="24" t="s">
        <v>1</v>
      </c>
      <c r="R32" s="24"/>
      <c r="S32" s="24" t="s">
        <v>1</v>
      </c>
      <c r="T32" s="24"/>
      <c r="U32" s="24" t="s">
        <v>2</v>
      </c>
      <c r="V32" s="30"/>
      <c r="W32" s="29"/>
      <c r="X32" s="24"/>
      <c r="Y32" s="24" t="s">
        <v>1</v>
      </c>
      <c r="Z32" s="24"/>
      <c r="AA32" s="24" t="s">
        <v>1</v>
      </c>
      <c r="AB32" s="24"/>
      <c r="AC32" s="24" t="s">
        <v>2</v>
      </c>
      <c r="AD32" s="30"/>
      <c r="AF32" s="57">
        <f t="shared" si="1"/>
        <v>3.4279999999999999</v>
      </c>
      <c r="AG32" s="13">
        <f t="shared" si="2"/>
        <v>0.6879599999999999</v>
      </c>
      <c r="AH32" s="13">
        <f t="shared" si="3"/>
        <v>1</v>
      </c>
      <c r="AI32" s="13">
        <f t="shared" si="4"/>
        <v>2.3583268799999995</v>
      </c>
    </row>
    <row r="33" spans="2:35" ht="30" customHeight="1" x14ac:dyDescent="0.15">
      <c r="B33" s="44" t="s">
        <v>123</v>
      </c>
      <c r="C33" s="41" t="s">
        <v>94</v>
      </c>
      <c r="D33" s="29">
        <v>0.78</v>
      </c>
      <c r="E33" s="24">
        <v>1.3</v>
      </c>
      <c r="F33" s="24">
        <v>0</v>
      </c>
      <c r="G33" s="30">
        <f t="shared" si="7"/>
        <v>1.014</v>
      </c>
      <c r="H33" s="54">
        <v>2.8985507246376816</v>
      </c>
      <c r="I33" s="24" t="s">
        <v>1</v>
      </c>
      <c r="J33" s="24">
        <f t="shared" si="5"/>
        <v>1.014</v>
      </c>
      <c r="K33" s="24" t="s">
        <v>1</v>
      </c>
      <c r="L33" s="24">
        <v>1</v>
      </c>
      <c r="M33" s="24" t="s">
        <v>2</v>
      </c>
      <c r="N33" s="30">
        <f t="shared" si="6"/>
        <v>2.939130434782609</v>
      </c>
      <c r="O33" s="29"/>
      <c r="P33" s="24"/>
      <c r="Q33" s="24" t="s">
        <v>1</v>
      </c>
      <c r="R33" s="24"/>
      <c r="S33" s="24" t="s">
        <v>1</v>
      </c>
      <c r="T33" s="24"/>
      <c r="U33" s="24" t="s">
        <v>2</v>
      </c>
      <c r="V33" s="30"/>
      <c r="W33" s="29"/>
      <c r="X33" s="24"/>
      <c r="Y33" s="24" t="s">
        <v>1</v>
      </c>
      <c r="Z33" s="24"/>
      <c r="AA33" s="24" t="s">
        <v>1</v>
      </c>
      <c r="AB33" s="24"/>
      <c r="AC33" s="24" t="s">
        <v>2</v>
      </c>
      <c r="AD33" s="30"/>
      <c r="AF33" s="57">
        <f t="shared" si="1"/>
        <v>2.899</v>
      </c>
      <c r="AG33" s="13">
        <f t="shared" si="2"/>
        <v>1.014</v>
      </c>
      <c r="AH33" s="13">
        <f t="shared" si="3"/>
        <v>1</v>
      </c>
      <c r="AI33" s="13">
        <f t="shared" si="4"/>
        <v>2.9395860000000003</v>
      </c>
    </row>
    <row r="34" spans="2:35" ht="30" customHeight="1" x14ac:dyDescent="0.15">
      <c r="B34" s="44" t="s">
        <v>124</v>
      </c>
      <c r="C34" s="41" t="s">
        <v>93</v>
      </c>
      <c r="D34" s="29">
        <v>2.9550000000000001</v>
      </c>
      <c r="E34" s="24">
        <v>2.1819999999999999</v>
      </c>
      <c r="F34" s="24">
        <f>2.85*1.6</f>
        <v>4.5600000000000005</v>
      </c>
      <c r="G34" s="30">
        <f t="shared" si="7"/>
        <v>1.8878099999999991</v>
      </c>
      <c r="H34" s="54">
        <v>3.4277582000542148</v>
      </c>
      <c r="I34" s="24" t="s">
        <v>1</v>
      </c>
      <c r="J34" s="24">
        <f t="shared" si="5"/>
        <v>1.8878099999999991</v>
      </c>
      <c r="K34" s="24" t="s">
        <v>1</v>
      </c>
      <c r="L34" s="24">
        <v>1</v>
      </c>
      <c r="M34" s="24" t="s">
        <v>2</v>
      </c>
      <c r="N34" s="30">
        <f t="shared" si="6"/>
        <v>6.4709562076443445</v>
      </c>
      <c r="O34" s="29"/>
      <c r="P34" s="24"/>
      <c r="Q34" s="24" t="s">
        <v>1</v>
      </c>
      <c r="R34" s="24"/>
      <c r="S34" s="24" t="s">
        <v>1</v>
      </c>
      <c r="T34" s="24"/>
      <c r="U34" s="24" t="s">
        <v>2</v>
      </c>
      <c r="V34" s="30"/>
      <c r="W34" s="29"/>
      <c r="X34" s="24"/>
      <c r="Y34" s="24" t="s">
        <v>1</v>
      </c>
      <c r="Z34" s="24"/>
      <c r="AA34" s="24" t="s">
        <v>1</v>
      </c>
      <c r="AB34" s="24"/>
      <c r="AC34" s="24" t="s">
        <v>2</v>
      </c>
      <c r="AD34" s="30"/>
      <c r="AF34" s="57">
        <f t="shared" si="1"/>
        <v>3.4279999999999999</v>
      </c>
      <c r="AG34" s="13">
        <f t="shared" si="2"/>
        <v>1.8878099999999991</v>
      </c>
      <c r="AH34" s="13">
        <f t="shared" si="3"/>
        <v>1</v>
      </c>
      <c r="AI34" s="13">
        <f t="shared" si="4"/>
        <v>6.4714126799999967</v>
      </c>
    </row>
    <row r="35" spans="2:35" ht="30" customHeight="1" x14ac:dyDescent="0.15">
      <c r="B35" s="44" t="s">
        <v>125</v>
      </c>
      <c r="C35" s="41" t="s">
        <v>93</v>
      </c>
      <c r="D35" s="29">
        <v>0.69599999999999995</v>
      </c>
      <c r="E35" s="24">
        <v>2.1819999999999999</v>
      </c>
      <c r="F35" s="24">
        <v>0</v>
      </c>
      <c r="G35" s="30">
        <f t="shared" si="7"/>
        <v>1.5186719999999998</v>
      </c>
      <c r="H35" s="54">
        <v>3.4277582000542148</v>
      </c>
      <c r="I35" s="24" t="s">
        <v>1</v>
      </c>
      <c r="J35" s="24">
        <f t="shared" si="5"/>
        <v>1.5186719999999998</v>
      </c>
      <c r="K35" s="24" t="s">
        <v>1</v>
      </c>
      <c r="L35" s="24">
        <v>1</v>
      </c>
      <c r="M35" s="24" t="s">
        <v>2</v>
      </c>
      <c r="N35" s="30">
        <f t="shared" si="6"/>
        <v>5.205640401192734</v>
      </c>
      <c r="O35" s="29"/>
      <c r="P35" s="24"/>
      <c r="Q35" s="24"/>
      <c r="R35" s="24"/>
      <c r="S35" s="24"/>
      <c r="T35" s="24"/>
      <c r="U35" s="24"/>
      <c r="V35" s="30"/>
      <c r="W35" s="29"/>
      <c r="X35" s="24"/>
      <c r="Y35" s="24"/>
      <c r="Z35" s="24"/>
      <c r="AA35" s="24"/>
      <c r="AB35" s="24"/>
      <c r="AC35" s="24"/>
      <c r="AD35" s="30"/>
      <c r="AF35" s="57">
        <f t="shared" si="1"/>
        <v>3.4279999999999999</v>
      </c>
      <c r="AG35" s="13">
        <f t="shared" si="2"/>
        <v>1.5186719999999998</v>
      </c>
      <c r="AH35" s="13">
        <f t="shared" si="3"/>
        <v>1</v>
      </c>
      <c r="AI35" s="13">
        <f t="shared" si="4"/>
        <v>5.2060076159999991</v>
      </c>
    </row>
    <row r="36" spans="2:35" ht="30" customHeight="1" x14ac:dyDescent="0.15">
      <c r="B36" s="44" t="s">
        <v>126</v>
      </c>
      <c r="C36" s="41" t="s">
        <v>93</v>
      </c>
      <c r="D36" s="29">
        <v>1.47</v>
      </c>
      <c r="E36" s="24">
        <v>2.1819999999999999</v>
      </c>
      <c r="F36" s="24">
        <f>1.365*1.3</f>
        <v>1.7745</v>
      </c>
      <c r="G36" s="30">
        <f t="shared" si="7"/>
        <v>1.4330399999999999</v>
      </c>
      <c r="H36" s="54">
        <v>3.4277582000542148</v>
      </c>
      <c r="I36" s="24" t="s">
        <v>1</v>
      </c>
      <c r="J36" s="24">
        <f t="shared" si="5"/>
        <v>1.4330399999999999</v>
      </c>
      <c r="K36" s="24" t="s">
        <v>1</v>
      </c>
      <c r="L36" s="24">
        <v>1</v>
      </c>
      <c r="M36" s="24" t="s">
        <v>2</v>
      </c>
      <c r="N36" s="30">
        <f t="shared" si="6"/>
        <v>4.9121146110056912</v>
      </c>
      <c r="O36" s="29"/>
      <c r="P36" s="24"/>
      <c r="Q36" s="24"/>
      <c r="R36" s="24"/>
      <c r="S36" s="24"/>
      <c r="T36" s="24"/>
      <c r="U36" s="24"/>
      <c r="V36" s="30"/>
      <c r="W36" s="29"/>
      <c r="X36" s="24"/>
      <c r="Y36" s="24"/>
      <c r="Z36" s="24"/>
      <c r="AA36" s="24"/>
      <c r="AB36" s="24"/>
      <c r="AC36" s="24"/>
      <c r="AD36" s="30"/>
      <c r="AF36" s="57">
        <f t="shared" si="1"/>
        <v>3.4279999999999999</v>
      </c>
      <c r="AG36" s="13">
        <f t="shared" si="2"/>
        <v>1.4330399999999999</v>
      </c>
      <c r="AH36" s="13">
        <f t="shared" si="3"/>
        <v>1</v>
      </c>
      <c r="AI36" s="13">
        <f t="shared" si="4"/>
        <v>4.9124611199999997</v>
      </c>
    </row>
    <row r="37" spans="2:35" ht="30" customHeight="1" x14ac:dyDescent="0.15">
      <c r="B37" s="44" t="s">
        <v>127</v>
      </c>
      <c r="C37" s="41" t="s">
        <v>98</v>
      </c>
      <c r="D37" s="29">
        <f>2.01+3.9</f>
        <v>5.91</v>
      </c>
      <c r="E37" s="24">
        <v>2.1819999999999999</v>
      </c>
      <c r="F37" s="24">
        <v>0</v>
      </c>
      <c r="G37" s="30">
        <f t="shared" si="7"/>
        <v>12.895619999999999</v>
      </c>
      <c r="H37" s="54">
        <v>2.7263157070849378</v>
      </c>
      <c r="I37" s="24" t="s">
        <v>1</v>
      </c>
      <c r="J37" s="24">
        <f t="shared" si="5"/>
        <v>12.895619999999999</v>
      </c>
      <c r="K37" s="24" t="s">
        <v>1</v>
      </c>
      <c r="L37" s="24">
        <v>0.15</v>
      </c>
      <c r="M37" s="24" t="s">
        <v>2</v>
      </c>
      <c r="N37" s="30">
        <f t="shared" si="6"/>
        <v>5.2736297037897986</v>
      </c>
      <c r="O37" s="29"/>
      <c r="P37" s="24"/>
      <c r="Q37" s="24"/>
      <c r="R37" s="24"/>
      <c r="S37" s="24"/>
      <c r="T37" s="24"/>
      <c r="U37" s="24"/>
      <c r="V37" s="30"/>
      <c r="W37" s="29"/>
      <c r="X37" s="24"/>
      <c r="Y37" s="24"/>
      <c r="Z37" s="24"/>
      <c r="AA37" s="24"/>
      <c r="AB37" s="24"/>
      <c r="AC37" s="24"/>
      <c r="AD37" s="30"/>
      <c r="AF37" s="57">
        <f t="shared" si="1"/>
        <v>2.726</v>
      </c>
      <c r="AG37" s="13">
        <f t="shared" si="2"/>
        <v>12.895619999999999</v>
      </c>
      <c r="AH37" s="13">
        <f t="shared" si="3"/>
        <v>0.15</v>
      </c>
      <c r="AI37" s="13">
        <f t="shared" si="4"/>
        <v>5.2730190179999994</v>
      </c>
    </row>
    <row r="38" spans="2:35" ht="30" customHeight="1" x14ac:dyDescent="0.15">
      <c r="B38" s="44" t="s">
        <v>128</v>
      </c>
      <c r="C38" s="41" t="s">
        <v>98</v>
      </c>
      <c r="D38" s="29">
        <v>2.9550000000000001</v>
      </c>
      <c r="E38" s="24">
        <v>2.1819999999999999</v>
      </c>
      <c r="F38" s="24">
        <v>0</v>
      </c>
      <c r="G38" s="30">
        <f t="shared" si="7"/>
        <v>6.4478099999999996</v>
      </c>
      <c r="H38" s="54">
        <v>2.7263157070849378</v>
      </c>
      <c r="I38" s="24" t="s">
        <v>1</v>
      </c>
      <c r="J38" s="24">
        <f t="shared" si="5"/>
        <v>6.4478099999999996</v>
      </c>
      <c r="K38" s="24" t="s">
        <v>1</v>
      </c>
      <c r="L38" s="24">
        <v>0.15</v>
      </c>
      <c r="M38" s="24" t="s">
        <v>2</v>
      </c>
      <c r="N38" s="30">
        <f t="shared" si="6"/>
        <v>2.6368148518948993</v>
      </c>
      <c r="O38" s="29"/>
      <c r="P38" s="24"/>
      <c r="Q38" s="24"/>
      <c r="R38" s="24"/>
      <c r="S38" s="24"/>
      <c r="T38" s="24"/>
      <c r="U38" s="24"/>
      <c r="V38" s="30"/>
      <c r="W38" s="29"/>
      <c r="X38" s="24"/>
      <c r="Y38" s="24"/>
      <c r="Z38" s="24"/>
      <c r="AA38" s="24"/>
      <c r="AB38" s="24"/>
      <c r="AC38" s="24"/>
      <c r="AD38" s="30"/>
      <c r="AF38" s="57">
        <f t="shared" si="1"/>
        <v>2.726</v>
      </c>
      <c r="AG38" s="13">
        <f t="shared" si="2"/>
        <v>6.4478099999999996</v>
      </c>
      <c r="AH38" s="13">
        <f t="shared" si="3"/>
        <v>0.15</v>
      </c>
      <c r="AI38" s="13">
        <f t="shared" si="4"/>
        <v>2.6365095089999997</v>
      </c>
    </row>
    <row r="39" spans="2:35" ht="30" customHeight="1" x14ac:dyDescent="0.15">
      <c r="B39" s="44" t="s">
        <v>129</v>
      </c>
      <c r="C39" s="41" t="s">
        <v>93</v>
      </c>
      <c r="D39" s="29">
        <v>1.47</v>
      </c>
      <c r="E39" s="24">
        <v>2.1819999999999999</v>
      </c>
      <c r="F39" s="24">
        <f>0.95*1.15</f>
        <v>1.0924999999999998</v>
      </c>
      <c r="G39" s="30">
        <f t="shared" si="7"/>
        <v>2.11504</v>
      </c>
      <c r="H39" s="54">
        <v>3.4277582000542148</v>
      </c>
      <c r="I39" s="24" t="s">
        <v>1</v>
      </c>
      <c r="J39" s="24">
        <f t="shared" si="5"/>
        <v>2.11504</v>
      </c>
      <c r="K39" s="24" t="s">
        <v>1</v>
      </c>
      <c r="L39" s="24">
        <v>1</v>
      </c>
      <c r="M39" s="24" t="s">
        <v>2</v>
      </c>
      <c r="N39" s="30">
        <f t="shared" si="6"/>
        <v>7.2498457034426664</v>
      </c>
      <c r="O39" s="29"/>
      <c r="P39" s="24"/>
      <c r="Q39" s="24" t="s">
        <v>1</v>
      </c>
      <c r="R39" s="24"/>
      <c r="S39" s="24" t="s">
        <v>1</v>
      </c>
      <c r="T39" s="24"/>
      <c r="U39" s="24" t="s">
        <v>2</v>
      </c>
      <c r="V39" s="30"/>
      <c r="W39" s="29"/>
      <c r="X39" s="24"/>
      <c r="Y39" s="24" t="s">
        <v>1</v>
      </c>
      <c r="Z39" s="24"/>
      <c r="AA39" s="24" t="s">
        <v>1</v>
      </c>
      <c r="AB39" s="24"/>
      <c r="AC39" s="24" t="s">
        <v>2</v>
      </c>
      <c r="AD39" s="30"/>
      <c r="AF39" s="57">
        <f t="shared" si="1"/>
        <v>3.4279999999999999</v>
      </c>
      <c r="AG39" s="13">
        <f t="shared" si="2"/>
        <v>2.11504</v>
      </c>
      <c r="AH39" s="13">
        <f t="shared" si="3"/>
        <v>1</v>
      </c>
      <c r="AI39" s="13">
        <f t="shared" si="4"/>
        <v>7.2503571200000003</v>
      </c>
    </row>
    <row r="40" spans="2:35" ht="30" customHeight="1" x14ac:dyDescent="0.15">
      <c r="B40" s="44" t="s">
        <v>131</v>
      </c>
      <c r="C40" s="41" t="s">
        <v>96</v>
      </c>
      <c r="D40" s="29">
        <f>2.955+0.78</f>
        <v>3.7350000000000003</v>
      </c>
      <c r="E40" s="24">
        <v>2.9550000000000001</v>
      </c>
      <c r="F40" s="24">
        <v>0</v>
      </c>
      <c r="G40" s="30">
        <f t="shared" si="7"/>
        <v>11.036925000000002</v>
      </c>
      <c r="H40" s="54">
        <v>1.2738853503184713</v>
      </c>
      <c r="I40" s="24" t="s">
        <v>1</v>
      </c>
      <c r="J40" s="24">
        <f t="shared" si="5"/>
        <v>11.036925000000002</v>
      </c>
      <c r="K40" s="24" t="s">
        <v>1</v>
      </c>
      <c r="L40" s="24">
        <v>0.7</v>
      </c>
      <c r="M40" s="24" t="s">
        <v>2</v>
      </c>
      <c r="N40" s="30">
        <f t="shared" si="6"/>
        <v>9.8418439490445859</v>
      </c>
      <c r="O40" s="29"/>
      <c r="P40" s="24"/>
      <c r="Q40" s="24"/>
      <c r="R40" s="24"/>
      <c r="S40" s="24"/>
      <c r="T40" s="24"/>
      <c r="U40" s="24"/>
      <c r="V40" s="30"/>
      <c r="W40" s="29"/>
      <c r="X40" s="24"/>
      <c r="Y40" s="24"/>
      <c r="Z40" s="24"/>
      <c r="AA40" s="24"/>
      <c r="AB40" s="24"/>
      <c r="AC40" s="24"/>
      <c r="AD40" s="30"/>
      <c r="AF40" s="57">
        <f t="shared" si="1"/>
        <v>1.274</v>
      </c>
      <c r="AG40" s="13">
        <f t="shared" si="2"/>
        <v>11.036925000000002</v>
      </c>
      <c r="AH40" s="13">
        <f t="shared" si="3"/>
        <v>0.7</v>
      </c>
      <c r="AI40" s="13">
        <f t="shared" si="4"/>
        <v>9.8427297150000008</v>
      </c>
    </row>
    <row r="41" spans="2:35" ht="30" customHeight="1" x14ac:dyDescent="0.15">
      <c r="B41" s="44" t="s">
        <v>132</v>
      </c>
      <c r="C41" s="41" t="s">
        <v>95</v>
      </c>
      <c r="D41" s="29">
        <v>0.78</v>
      </c>
      <c r="E41" s="24">
        <v>2.0099999999999998</v>
      </c>
      <c r="F41" s="24">
        <v>0</v>
      </c>
      <c r="G41" s="30">
        <f t="shared" si="7"/>
        <v>1.5677999999999999</v>
      </c>
      <c r="H41" s="54">
        <v>2.3529411764705879</v>
      </c>
      <c r="I41" s="24" t="s">
        <v>1</v>
      </c>
      <c r="J41" s="24">
        <f t="shared" si="5"/>
        <v>1.5677999999999999</v>
      </c>
      <c r="K41" s="24" t="s">
        <v>1</v>
      </c>
      <c r="L41" s="24">
        <v>0.7</v>
      </c>
      <c r="M41" s="24" t="s">
        <v>2</v>
      </c>
      <c r="N41" s="30">
        <f t="shared" si="6"/>
        <v>2.5822588235294108</v>
      </c>
      <c r="O41" s="29"/>
      <c r="P41" s="24"/>
      <c r="Q41" s="24"/>
      <c r="R41" s="24"/>
      <c r="S41" s="24"/>
      <c r="T41" s="24"/>
      <c r="U41" s="24"/>
      <c r="V41" s="30"/>
      <c r="W41" s="29"/>
      <c r="X41" s="24"/>
      <c r="Y41" s="24"/>
      <c r="Z41" s="24"/>
      <c r="AA41" s="24"/>
      <c r="AB41" s="24"/>
      <c r="AC41" s="24"/>
      <c r="AD41" s="30"/>
      <c r="AF41" s="57">
        <f t="shared" si="1"/>
        <v>2.3530000000000002</v>
      </c>
      <c r="AG41" s="13">
        <f t="shared" si="2"/>
        <v>1.5677999999999999</v>
      </c>
      <c r="AH41" s="13">
        <f t="shared" si="3"/>
        <v>0.7</v>
      </c>
      <c r="AI41" s="13">
        <f t="shared" si="4"/>
        <v>2.5823233800000001</v>
      </c>
    </row>
    <row r="42" spans="2:35" ht="30" customHeight="1" x14ac:dyDescent="0.15">
      <c r="B42" s="44" t="s">
        <v>133</v>
      </c>
      <c r="C42" s="41" t="s">
        <v>96</v>
      </c>
      <c r="D42" s="29">
        <v>2.9550000000000001</v>
      </c>
      <c r="E42" s="24">
        <v>2.0099999999999998</v>
      </c>
      <c r="F42" s="24">
        <v>0</v>
      </c>
      <c r="G42" s="30">
        <f t="shared" si="7"/>
        <v>5.9395499999999997</v>
      </c>
      <c r="H42" s="54">
        <v>1.2738853503184713</v>
      </c>
      <c r="I42" s="24" t="s">
        <v>1</v>
      </c>
      <c r="J42" s="24">
        <f t="shared" si="5"/>
        <v>5.9395499999999997</v>
      </c>
      <c r="K42" s="24" t="s">
        <v>1</v>
      </c>
      <c r="L42" s="24">
        <v>0.7</v>
      </c>
      <c r="M42" s="24" t="s">
        <v>2</v>
      </c>
      <c r="N42" s="30">
        <f t="shared" si="6"/>
        <v>5.296414012738853</v>
      </c>
      <c r="O42" s="29"/>
      <c r="P42" s="24"/>
      <c r="Q42" s="24"/>
      <c r="R42" s="24"/>
      <c r="S42" s="24"/>
      <c r="T42" s="24"/>
      <c r="U42" s="24"/>
      <c r="V42" s="30"/>
      <c r="W42" s="29"/>
      <c r="X42" s="24"/>
      <c r="Y42" s="24"/>
      <c r="Z42" s="24"/>
      <c r="AA42" s="24"/>
      <c r="AB42" s="24"/>
      <c r="AC42" s="24"/>
      <c r="AD42" s="30"/>
      <c r="AF42" s="57">
        <f t="shared" si="1"/>
        <v>1.274</v>
      </c>
      <c r="AG42" s="13">
        <f t="shared" si="2"/>
        <v>5.9395499999999997</v>
      </c>
      <c r="AH42" s="13">
        <f t="shared" si="3"/>
        <v>0.7</v>
      </c>
      <c r="AI42" s="13">
        <f t="shared" si="4"/>
        <v>5.2968906899999988</v>
      </c>
    </row>
    <row r="43" spans="2:35" ht="30" customHeight="1" x14ac:dyDescent="0.15">
      <c r="B43" s="44" t="s">
        <v>134</v>
      </c>
      <c r="C43" s="41" t="s">
        <v>95</v>
      </c>
      <c r="D43" s="29">
        <v>0.78</v>
      </c>
      <c r="E43" s="24">
        <v>3.9</v>
      </c>
      <c r="F43" s="24">
        <v>0</v>
      </c>
      <c r="G43" s="30">
        <f t="shared" si="7"/>
        <v>3.0419999999999998</v>
      </c>
      <c r="H43" s="54">
        <v>2.3529411764705879</v>
      </c>
      <c r="I43" s="24" t="s">
        <v>1</v>
      </c>
      <c r="J43" s="24">
        <f t="shared" si="5"/>
        <v>3.0419999999999998</v>
      </c>
      <c r="K43" s="24" t="s">
        <v>1</v>
      </c>
      <c r="L43" s="24">
        <v>0.7</v>
      </c>
      <c r="M43" s="24" t="s">
        <v>2</v>
      </c>
      <c r="N43" s="30">
        <f t="shared" si="6"/>
        <v>5.0103529411764693</v>
      </c>
      <c r="O43" s="29"/>
      <c r="P43" s="24"/>
      <c r="Q43" s="24"/>
      <c r="R43" s="24"/>
      <c r="S43" s="24"/>
      <c r="T43" s="24"/>
      <c r="U43" s="24"/>
      <c r="V43" s="30"/>
      <c r="W43" s="29"/>
      <c r="X43" s="24"/>
      <c r="Y43" s="24"/>
      <c r="Z43" s="24"/>
      <c r="AA43" s="24"/>
      <c r="AB43" s="24"/>
      <c r="AC43" s="24"/>
      <c r="AD43" s="30"/>
      <c r="AF43" s="57">
        <f t="shared" si="1"/>
        <v>2.3530000000000002</v>
      </c>
      <c r="AG43" s="13">
        <f t="shared" si="2"/>
        <v>3.0419999999999998</v>
      </c>
      <c r="AH43" s="13">
        <f t="shared" si="3"/>
        <v>0.7</v>
      </c>
      <c r="AI43" s="13">
        <f t="shared" si="4"/>
        <v>5.0104781999999997</v>
      </c>
    </row>
    <row r="44" spans="2:35" ht="30" customHeight="1" x14ac:dyDescent="0.15">
      <c r="B44" s="44" t="s">
        <v>135</v>
      </c>
      <c r="C44" s="41" t="s">
        <v>96</v>
      </c>
      <c r="D44" s="29">
        <v>2.9550000000000001</v>
      </c>
      <c r="E44" s="24">
        <v>3.9</v>
      </c>
      <c r="F44" s="24">
        <v>0</v>
      </c>
      <c r="G44" s="30">
        <f t="shared" si="7"/>
        <v>11.5245</v>
      </c>
      <c r="H44" s="54">
        <v>1.2738853503184713</v>
      </c>
      <c r="I44" s="24" t="s">
        <v>1</v>
      </c>
      <c r="J44" s="24">
        <f t="shared" si="5"/>
        <v>11.5245</v>
      </c>
      <c r="K44" s="24" t="s">
        <v>1</v>
      </c>
      <c r="L44" s="24">
        <v>0.7</v>
      </c>
      <c r="M44" s="24" t="s">
        <v>2</v>
      </c>
      <c r="N44" s="30">
        <f t="shared" si="6"/>
        <v>10.276624203821655</v>
      </c>
      <c r="O44" s="29"/>
      <c r="P44" s="24"/>
      <c r="Q44" s="24"/>
      <c r="R44" s="24"/>
      <c r="S44" s="24"/>
      <c r="T44" s="24"/>
      <c r="U44" s="24"/>
      <c r="V44" s="30"/>
      <c r="W44" s="29"/>
      <c r="X44" s="24"/>
      <c r="Y44" s="24"/>
      <c r="Z44" s="24"/>
      <c r="AA44" s="24"/>
      <c r="AB44" s="24"/>
      <c r="AC44" s="24"/>
      <c r="AD44" s="30"/>
      <c r="AF44" s="57">
        <f t="shared" si="1"/>
        <v>1.274</v>
      </c>
      <c r="AG44" s="13">
        <f t="shared" si="2"/>
        <v>11.5245</v>
      </c>
      <c r="AH44" s="13">
        <f t="shared" si="3"/>
        <v>0.7</v>
      </c>
      <c r="AI44" s="13">
        <f t="shared" si="4"/>
        <v>10.277549099999998</v>
      </c>
    </row>
    <row r="45" spans="2:35" ht="30" customHeight="1" x14ac:dyDescent="0.15">
      <c r="B45" s="44" t="s">
        <v>136</v>
      </c>
      <c r="C45" s="41" t="s">
        <v>95</v>
      </c>
      <c r="D45" s="29">
        <f>2.955+0.78</f>
        <v>3.7350000000000003</v>
      </c>
      <c r="E45" s="24">
        <v>0.69599999999999995</v>
      </c>
      <c r="F45" s="24">
        <v>0</v>
      </c>
      <c r="G45" s="30">
        <f t="shared" ref="G45:G46" si="8">D45*E45-F45</f>
        <v>2.5995599999999999</v>
      </c>
      <c r="H45" s="54">
        <v>3.1746031746031744</v>
      </c>
      <c r="I45" s="24" t="s">
        <v>1</v>
      </c>
      <c r="J45" s="24">
        <f t="shared" si="5"/>
        <v>2.5995599999999999</v>
      </c>
      <c r="K45" s="24" t="s">
        <v>1</v>
      </c>
      <c r="L45" s="24">
        <v>1</v>
      </c>
      <c r="M45" s="24" t="s">
        <v>2</v>
      </c>
      <c r="N45" s="30">
        <f t="shared" si="6"/>
        <v>8.2525714285714269</v>
      </c>
      <c r="O45" s="29"/>
      <c r="P45" s="24"/>
      <c r="Q45" s="24" t="s">
        <v>1</v>
      </c>
      <c r="R45" s="24"/>
      <c r="S45" s="24" t="s">
        <v>1</v>
      </c>
      <c r="T45" s="24"/>
      <c r="U45" s="24" t="s">
        <v>2</v>
      </c>
      <c r="V45" s="30"/>
      <c r="W45" s="29"/>
      <c r="X45" s="24"/>
      <c r="Y45" s="24" t="s">
        <v>1</v>
      </c>
      <c r="Z45" s="24"/>
      <c r="AA45" s="24" t="s">
        <v>1</v>
      </c>
      <c r="AB45" s="24"/>
      <c r="AC45" s="24" t="s">
        <v>2</v>
      </c>
      <c r="AD45" s="30"/>
      <c r="AF45" s="57">
        <f t="shared" si="1"/>
        <v>3.1749999999999998</v>
      </c>
      <c r="AG45" s="13">
        <f t="shared" si="2"/>
        <v>2.5995599999999999</v>
      </c>
      <c r="AH45" s="13">
        <f t="shared" si="3"/>
        <v>1</v>
      </c>
      <c r="AI45" s="13">
        <f t="shared" si="4"/>
        <v>8.2536029999999982</v>
      </c>
    </row>
    <row r="46" spans="2:35" ht="30" customHeight="1" x14ac:dyDescent="0.15">
      <c r="B46" s="44" t="s">
        <v>137</v>
      </c>
      <c r="C46" s="41" t="s">
        <v>138</v>
      </c>
      <c r="D46" s="29">
        <v>1.47</v>
      </c>
      <c r="E46" s="24">
        <f>2.955+2.01+3.9</f>
        <v>8.8650000000000002</v>
      </c>
      <c r="F46" s="24">
        <v>0</v>
      </c>
      <c r="G46" s="30">
        <f t="shared" si="8"/>
        <v>13.031549999999999</v>
      </c>
      <c r="H46" s="54">
        <v>0</v>
      </c>
      <c r="I46" s="24" t="s">
        <v>1</v>
      </c>
      <c r="J46" s="24">
        <f t="shared" si="5"/>
        <v>13.031549999999999</v>
      </c>
      <c r="K46" s="24" t="s">
        <v>1</v>
      </c>
      <c r="L46" s="24">
        <v>1</v>
      </c>
      <c r="M46" s="24" t="s">
        <v>2</v>
      </c>
      <c r="N46" s="30">
        <f t="shared" si="6"/>
        <v>0</v>
      </c>
      <c r="O46" s="29"/>
      <c r="P46" s="24"/>
      <c r="Q46" s="24" t="s">
        <v>1</v>
      </c>
      <c r="R46" s="24"/>
      <c r="S46" s="24" t="s">
        <v>1</v>
      </c>
      <c r="T46" s="24"/>
      <c r="U46" s="24" t="s">
        <v>2</v>
      </c>
      <c r="V46" s="30"/>
      <c r="W46" s="29"/>
      <c r="X46" s="24"/>
      <c r="Y46" s="24" t="s">
        <v>1</v>
      </c>
      <c r="Z46" s="24"/>
      <c r="AA46" s="24" t="s">
        <v>1</v>
      </c>
      <c r="AB46" s="24"/>
      <c r="AC46" s="24" t="s">
        <v>2</v>
      </c>
      <c r="AD46" s="30"/>
      <c r="AF46" s="57">
        <f t="shared" si="1"/>
        <v>0</v>
      </c>
      <c r="AG46" s="13">
        <f t="shared" si="2"/>
        <v>13.031549999999999</v>
      </c>
      <c r="AH46" s="13">
        <f t="shared" si="3"/>
        <v>1</v>
      </c>
      <c r="AI46" s="13">
        <f t="shared" si="4"/>
        <v>0</v>
      </c>
    </row>
    <row r="47" spans="2:35" ht="30" customHeight="1" x14ac:dyDescent="0.15">
      <c r="B47" s="47" t="s">
        <v>139</v>
      </c>
      <c r="C47" s="41" t="s">
        <v>97</v>
      </c>
      <c r="D47" s="48">
        <f>0.78+2.955</f>
        <v>3.7350000000000003</v>
      </c>
      <c r="E47" s="49">
        <v>2.9550000000000001</v>
      </c>
      <c r="F47" s="24">
        <v>0</v>
      </c>
      <c r="G47" s="30">
        <f t="shared" ref="G47:G52" si="9">D47*E47-F47</f>
        <v>11.036925000000002</v>
      </c>
      <c r="H47" s="55">
        <v>3.9215686274509802</v>
      </c>
      <c r="I47" s="24" t="s">
        <v>1</v>
      </c>
      <c r="J47" s="24">
        <f t="shared" si="5"/>
        <v>11.036925000000002</v>
      </c>
      <c r="K47" s="24" t="s">
        <v>1</v>
      </c>
      <c r="L47" s="24">
        <v>1</v>
      </c>
      <c r="M47" s="24" t="s">
        <v>2</v>
      </c>
      <c r="N47" s="30">
        <f t="shared" si="6"/>
        <v>43.282058823529418</v>
      </c>
      <c r="O47" s="48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50"/>
      <c r="AF47" s="57">
        <f t="shared" si="1"/>
        <v>3.9220000000000002</v>
      </c>
      <c r="AG47" s="13">
        <f t="shared" si="2"/>
        <v>11.036925000000002</v>
      </c>
      <c r="AH47" s="13">
        <f t="shared" si="3"/>
        <v>1</v>
      </c>
      <c r="AI47" s="13">
        <f t="shared" si="4"/>
        <v>43.286819850000008</v>
      </c>
    </row>
    <row r="48" spans="2:35" ht="30" customHeight="1" x14ac:dyDescent="0.15">
      <c r="B48" s="47" t="s">
        <v>140</v>
      </c>
      <c r="C48" s="41" t="s">
        <v>97</v>
      </c>
      <c r="D48" s="48">
        <f>0.78+2.955</f>
        <v>3.7350000000000003</v>
      </c>
      <c r="E48" s="49">
        <v>2.0099999999999998</v>
      </c>
      <c r="F48" s="24">
        <v>0</v>
      </c>
      <c r="G48" s="30">
        <f t="shared" si="9"/>
        <v>7.5073499999999997</v>
      </c>
      <c r="H48" s="55">
        <v>3.9215686274509802</v>
      </c>
      <c r="I48" s="24" t="s">
        <v>1</v>
      </c>
      <c r="J48" s="24">
        <f t="shared" si="5"/>
        <v>7.5073499999999997</v>
      </c>
      <c r="K48" s="24" t="s">
        <v>1</v>
      </c>
      <c r="L48" s="24">
        <v>1</v>
      </c>
      <c r="M48" s="24" t="s">
        <v>2</v>
      </c>
      <c r="N48" s="30">
        <f t="shared" si="6"/>
        <v>29.440588235294115</v>
      </c>
      <c r="O48" s="48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50"/>
      <c r="AF48" s="57">
        <f t="shared" si="1"/>
        <v>3.9220000000000002</v>
      </c>
      <c r="AG48" s="13">
        <f t="shared" si="2"/>
        <v>7.5073499999999997</v>
      </c>
      <c r="AH48" s="13">
        <f t="shared" si="3"/>
        <v>1</v>
      </c>
      <c r="AI48" s="13">
        <f t="shared" si="4"/>
        <v>29.443826699999999</v>
      </c>
    </row>
    <row r="49" spans="2:35" ht="30" customHeight="1" x14ac:dyDescent="0.15">
      <c r="B49" s="47" t="s">
        <v>141</v>
      </c>
      <c r="C49" s="41" t="s">
        <v>97</v>
      </c>
      <c r="D49" s="48">
        <f>0.78+2.955</f>
        <v>3.7350000000000003</v>
      </c>
      <c r="E49" s="49">
        <f>3.9</f>
        <v>3.9</v>
      </c>
      <c r="F49" s="24">
        <v>0</v>
      </c>
      <c r="G49" s="30">
        <f t="shared" si="9"/>
        <v>14.566500000000001</v>
      </c>
      <c r="H49" s="55">
        <v>3.9215686274509802</v>
      </c>
      <c r="I49" s="24" t="s">
        <v>1</v>
      </c>
      <c r="J49" s="24">
        <f t="shared" si="5"/>
        <v>14.566500000000001</v>
      </c>
      <c r="K49" s="24" t="s">
        <v>1</v>
      </c>
      <c r="L49" s="24">
        <v>1</v>
      </c>
      <c r="M49" s="24" t="s">
        <v>2</v>
      </c>
      <c r="N49" s="30">
        <f t="shared" si="6"/>
        <v>57.123529411764707</v>
      </c>
      <c r="O49" s="48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50"/>
      <c r="AF49" s="57">
        <f t="shared" si="1"/>
        <v>3.9220000000000002</v>
      </c>
      <c r="AG49" s="13">
        <f t="shared" si="2"/>
        <v>14.566500000000001</v>
      </c>
      <c r="AH49" s="13">
        <f t="shared" si="3"/>
        <v>1</v>
      </c>
      <c r="AI49" s="13">
        <f t="shared" si="4"/>
        <v>57.129813000000006</v>
      </c>
    </row>
    <row r="50" spans="2:35" ht="30" customHeight="1" x14ac:dyDescent="0.15">
      <c r="B50" s="47" t="s">
        <v>144</v>
      </c>
      <c r="C50" s="41" t="s">
        <v>97</v>
      </c>
      <c r="D50" s="48">
        <f>0.78+2.955</f>
        <v>3.7350000000000003</v>
      </c>
      <c r="E50" s="49">
        <v>0.69599999999999995</v>
      </c>
      <c r="F50" s="24">
        <v>0</v>
      </c>
      <c r="G50" s="30">
        <f t="shared" si="9"/>
        <v>2.5995599999999999</v>
      </c>
      <c r="H50" s="55">
        <v>3.9215686274509802</v>
      </c>
      <c r="I50" s="24" t="s">
        <v>1</v>
      </c>
      <c r="J50" s="24">
        <f t="shared" si="5"/>
        <v>2.5995599999999999</v>
      </c>
      <c r="K50" s="24" t="s">
        <v>1</v>
      </c>
      <c r="L50" s="24">
        <v>1</v>
      </c>
      <c r="M50" s="24" t="s">
        <v>2</v>
      </c>
      <c r="N50" s="30">
        <f t="shared" si="6"/>
        <v>10.19435294117647</v>
      </c>
      <c r="O50" s="48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50"/>
      <c r="AF50" s="57">
        <f t="shared" si="1"/>
        <v>3.9220000000000002</v>
      </c>
      <c r="AG50" s="13">
        <f t="shared" si="2"/>
        <v>2.5995599999999999</v>
      </c>
      <c r="AH50" s="13">
        <f t="shared" si="3"/>
        <v>1</v>
      </c>
      <c r="AI50" s="13">
        <f t="shared" si="4"/>
        <v>10.195474320000001</v>
      </c>
    </row>
    <row r="51" spans="2:35" ht="30" customHeight="1" x14ac:dyDescent="0.15">
      <c r="B51" s="47" t="s">
        <v>142</v>
      </c>
      <c r="C51" s="41" t="s">
        <v>97</v>
      </c>
      <c r="D51" s="48">
        <v>1.47</v>
      </c>
      <c r="E51" s="49">
        <f>2.01+3.9</f>
        <v>5.91</v>
      </c>
      <c r="F51" s="24">
        <v>0</v>
      </c>
      <c r="G51" s="30">
        <f t="shared" si="9"/>
        <v>8.6876999999999995</v>
      </c>
      <c r="H51" s="55">
        <v>3.9215686274509802</v>
      </c>
      <c r="I51" s="24" t="s">
        <v>1</v>
      </c>
      <c r="J51" s="24">
        <f t="shared" si="5"/>
        <v>8.6876999999999995</v>
      </c>
      <c r="K51" s="24" t="s">
        <v>1</v>
      </c>
      <c r="L51" s="24">
        <v>1</v>
      </c>
      <c r="M51" s="24" t="s">
        <v>2</v>
      </c>
      <c r="N51" s="30">
        <f t="shared" si="6"/>
        <v>34.069411764705876</v>
      </c>
      <c r="O51" s="48"/>
      <c r="P51" s="49"/>
      <c r="Q51" s="49"/>
      <c r="R51" s="49"/>
      <c r="S51" s="49"/>
      <c r="T51" s="49"/>
      <c r="U51" s="49"/>
      <c r="V51" s="50"/>
      <c r="W51" s="48"/>
      <c r="X51" s="49"/>
      <c r="Y51" s="49"/>
      <c r="Z51" s="49"/>
      <c r="AA51" s="49"/>
      <c r="AB51" s="49"/>
      <c r="AC51" s="49"/>
      <c r="AD51" s="50"/>
      <c r="AF51" s="57">
        <f t="shared" si="1"/>
        <v>3.9220000000000002</v>
      </c>
      <c r="AG51" s="13">
        <f t="shared" si="2"/>
        <v>8.6876999999999995</v>
      </c>
      <c r="AH51" s="13">
        <f t="shared" si="3"/>
        <v>1</v>
      </c>
      <c r="AI51" s="13">
        <f t="shared" si="4"/>
        <v>34.073159400000002</v>
      </c>
    </row>
    <row r="52" spans="2:35" ht="30" customHeight="1" thickBot="1" x14ac:dyDescent="0.2">
      <c r="B52" s="45" t="s">
        <v>143</v>
      </c>
      <c r="C52" s="42" t="s">
        <v>97</v>
      </c>
      <c r="D52" s="33">
        <v>1.47</v>
      </c>
      <c r="E52" s="34">
        <v>2.9550000000000001</v>
      </c>
      <c r="F52" s="34">
        <v>0</v>
      </c>
      <c r="G52" s="35">
        <f t="shared" si="9"/>
        <v>4.3438499999999998</v>
      </c>
      <c r="H52" s="56">
        <v>3.9215686274509802</v>
      </c>
      <c r="I52" s="34" t="s">
        <v>1</v>
      </c>
      <c r="J52" s="34">
        <f>G52</f>
        <v>4.3438499999999998</v>
      </c>
      <c r="K52" s="34" t="s">
        <v>1</v>
      </c>
      <c r="L52" s="34">
        <v>1</v>
      </c>
      <c r="M52" s="34" t="s">
        <v>2</v>
      </c>
      <c r="N52" s="35">
        <f>H52*J52*L52</f>
        <v>17.034705882352938</v>
      </c>
      <c r="O52" s="33"/>
      <c r="P52" s="34"/>
      <c r="Q52" s="34" t="s">
        <v>1</v>
      </c>
      <c r="R52" s="34"/>
      <c r="S52" s="34" t="s">
        <v>1</v>
      </c>
      <c r="T52" s="34"/>
      <c r="U52" s="34" t="s">
        <v>2</v>
      </c>
      <c r="V52" s="35"/>
      <c r="W52" s="33"/>
      <c r="X52" s="34"/>
      <c r="Y52" s="34" t="s">
        <v>1</v>
      </c>
      <c r="Z52" s="34"/>
      <c r="AA52" s="34" t="s">
        <v>1</v>
      </c>
      <c r="AB52" s="34"/>
      <c r="AC52" s="34" t="s">
        <v>2</v>
      </c>
      <c r="AD52" s="35"/>
      <c r="AF52" s="57">
        <f t="shared" si="1"/>
        <v>3.9220000000000002</v>
      </c>
      <c r="AG52" s="13">
        <f t="shared" si="2"/>
        <v>4.3438499999999998</v>
      </c>
      <c r="AH52" s="13">
        <f t="shared" si="3"/>
        <v>1</v>
      </c>
      <c r="AI52" s="13">
        <f t="shared" si="4"/>
        <v>17.036579700000001</v>
      </c>
    </row>
    <row r="53" spans="2:35" ht="16.5" thickBot="1" x14ac:dyDescent="0.2"/>
    <row r="54" spans="2:35" ht="16.5" thickBot="1" x14ac:dyDescent="0.2">
      <c r="G54" s="13">
        <f>SUM(G40:G46)+SUM(G47:G52)</f>
        <v>97.483769999999993</v>
      </c>
      <c r="L54" s="13" t="s">
        <v>91</v>
      </c>
      <c r="N54" s="36">
        <f>SUM(N6:N52)</f>
        <v>550.63467362477377</v>
      </c>
      <c r="T54" s="13" t="s">
        <v>91</v>
      </c>
      <c r="V54" s="36"/>
      <c r="AB54" s="13" t="s">
        <v>91</v>
      </c>
      <c r="AD54" s="36"/>
    </row>
    <row r="55" spans="2:35" x14ac:dyDescent="0.15">
      <c r="G55" s="13">
        <f>SUM(G6:G52)</f>
        <v>220.39657</v>
      </c>
    </row>
  </sheetData>
  <mergeCells count="7">
    <mergeCell ref="B4:B5"/>
    <mergeCell ref="C4:C5"/>
    <mergeCell ref="O3:V3"/>
    <mergeCell ref="W3:AD3"/>
    <mergeCell ref="B3:C3"/>
    <mergeCell ref="D3:G3"/>
    <mergeCell ref="H3:N3"/>
  </mergeCells>
  <phoneticPr fontId="2"/>
  <pageMargins left="0.23622047244094491" right="0.23622047244094491" top="0.74803149606299213" bottom="0.74803149606299213" header="0.31496062992125984" footer="0.31496062992125984"/>
  <pageSetup paperSize="9" scale="49" fitToHeight="1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37"/>
  <sheetViews>
    <sheetView topLeftCell="H1" zoomScale="130" zoomScaleNormal="130" workbookViewId="0">
      <selection activeCell="O4" sqref="O4:O5"/>
    </sheetView>
  </sheetViews>
  <sheetFormatPr defaultRowHeight="15.75" x14ac:dyDescent="0.15"/>
  <cols>
    <col min="1" max="1" width="3.375" style="13" customWidth="1"/>
    <col min="2" max="2" width="19.75" style="13" customWidth="1"/>
    <col min="3" max="3" width="21.375" style="13" customWidth="1"/>
    <col min="4" max="4" width="15" style="13" bestFit="1" customWidth="1"/>
    <col min="5" max="5" width="12.625" style="13" bestFit="1" customWidth="1"/>
    <col min="6" max="6" width="3.25" style="13" bestFit="1" customWidth="1"/>
    <col min="7" max="7" width="10.125" style="13" customWidth="1"/>
    <col min="8" max="8" width="3.625" style="13" bestFit="1" customWidth="1"/>
    <col min="9" max="9" width="13.625" style="13" bestFit="1" customWidth="1"/>
    <col min="10" max="10" width="3.625" style="13" bestFit="1" customWidth="1"/>
    <col min="11" max="11" width="12.375" style="13" customWidth="1"/>
    <col min="12" max="12" width="6.25" style="13" customWidth="1"/>
    <col min="13" max="13" width="8.375" style="13" bestFit="1" customWidth="1"/>
    <col min="14" max="14" width="3.5" style="13" bestFit="1" customWidth="1"/>
    <col min="15" max="15" width="9" style="13" bestFit="1" customWidth="1"/>
    <col min="16" max="16" width="3.5" style="13" bestFit="1" customWidth="1"/>
    <col min="17" max="17" width="10" style="13" customWidth="1"/>
    <col min="18" max="18" width="3.5" style="13" bestFit="1" customWidth="1"/>
    <col min="19" max="19" width="11.375" style="13" bestFit="1" customWidth="1"/>
    <col min="20" max="20" width="3.875" style="13" bestFit="1" customWidth="1"/>
    <col min="21" max="21" width="14.625" style="13" bestFit="1" customWidth="1"/>
    <col min="22" max="22" width="5.625" style="13" bestFit="1" customWidth="1"/>
    <col min="23" max="23" width="8.375" style="13" bestFit="1" customWidth="1"/>
    <col min="24" max="24" width="3.5" style="13" bestFit="1" customWidth="1"/>
    <col min="25" max="25" width="9" style="13" bestFit="1" customWidth="1"/>
    <col min="26" max="26" width="3.5" style="13" bestFit="1" customWidth="1"/>
    <col min="27" max="27" width="9.375" style="13" bestFit="1" customWidth="1"/>
    <col min="28" max="28" width="3.5" style="13" bestFit="1" customWidth="1"/>
    <col min="29" max="29" width="11.375" style="13" bestFit="1" customWidth="1"/>
    <col min="30" max="30" width="3.875" style="13" bestFit="1" customWidth="1"/>
    <col min="31" max="31" width="14.625" style="13" bestFit="1" customWidth="1"/>
    <col min="32" max="32" width="3.375" style="13" customWidth="1"/>
    <col min="33" max="16384" width="9" style="13"/>
  </cols>
  <sheetData>
    <row r="2" spans="2:31" ht="21.75" thickBot="1" x14ac:dyDescent="0.2">
      <c r="B2" s="39" t="s">
        <v>8</v>
      </c>
    </row>
    <row r="3" spans="2:31" ht="30" customHeight="1" thickBot="1" x14ac:dyDescent="0.2">
      <c r="B3" s="65" t="s">
        <v>30</v>
      </c>
      <c r="C3" s="67"/>
      <c r="D3" s="12" t="s">
        <v>57</v>
      </c>
      <c r="E3" s="68" t="s">
        <v>58</v>
      </c>
      <c r="F3" s="66"/>
      <c r="G3" s="66"/>
      <c r="H3" s="66"/>
      <c r="I3" s="66"/>
      <c r="J3" s="66"/>
      <c r="K3" s="67"/>
      <c r="L3" s="65" t="s">
        <v>68</v>
      </c>
      <c r="M3" s="66"/>
      <c r="N3" s="66"/>
      <c r="O3" s="66"/>
      <c r="P3" s="66"/>
      <c r="Q3" s="66"/>
      <c r="R3" s="66"/>
      <c r="S3" s="66"/>
      <c r="T3" s="66"/>
      <c r="U3" s="67"/>
      <c r="V3" s="65" t="s">
        <v>77</v>
      </c>
      <c r="W3" s="66"/>
      <c r="X3" s="66"/>
      <c r="Y3" s="66"/>
      <c r="Z3" s="66"/>
      <c r="AA3" s="66"/>
      <c r="AB3" s="66"/>
      <c r="AC3" s="66"/>
      <c r="AD3" s="66"/>
      <c r="AE3" s="67"/>
    </row>
    <row r="4" spans="2:31" ht="30" customHeight="1" x14ac:dyDescent="0.15">
      <c r="B4" s="69" t="s">
        <v>9</v>
      </c>
      <c r="C4" s="69" t="s">
        <v>10</v>
      </c>
      <c r="D4" s="37" t="s">
        <v>60</v>
      </c>
      <c r="E4" s="4" t="s">
        <v>61</v>
      </c>
      <c r="F4" s="5"/>
      <c r="G4" s="5" t="s">
        <v>62</v>
      </c>
      <c r="H4" s="6"/>
      <c r="I4" s="5" t="s">
        <v>65</v>
      </c>
      <c r="J4" s="6"/>
      <c r="K4" s="7" t="s">
        <v>67</v>
      </c>
      <c r="L4" s="14" t="s">
        <v>4</v>
      </c>
      <c r="M4" s="5" t="s">
        <v>71</v>
      </c>
      <c r="N4" s="5"/>
      <c r="O4" s="5" t="s">
        <v>72</v>
      </c>
      <c r="P4" s="5"/>
      <c r="Q4" s="5" t="s">
        <v>80</v>
      </c>
      <c r="R4" s="6"/>
      <c r="S4" s="5" t="s">
        <v>74</v>
      </c>
      <c r="T4" s="6"/>
      <c r="U4" s="7" t="s">
        <v>81</v>
      </c>
      <c r="V4" s="14" t="s">
        <v>4</v>
      </c>
      <c r="W4" s="5" t="s">
        <v>78</v>
      </c>
      <c r="X4" s="5"/>
      <c r="Y4" s="5" t="s">
        <v>79</v>
      </c>
      <c r="Z4" s="5"/>
      <c r="AA4" s="5" t="s">
        <v>163</v>
      </c>
      <c r="AB4" s="6"/>
      <c r="AC4" s="5" t="s">
        <v>82</v>
      </c>
      <c r="AD4" s="6"/>
      <c r="AE4" s="7" t="s">
        <v>83</v>
      </c>
    </row>
    <row r="5" spans="2:31" ht="16.5" thickBot="1" x14ac:dyDescent="0.2">
      <c r="B5" s="70"/>
      <c r="C5" s="70"/>
      <c r="D5" s="38" t="s">
        <v>64</v>
      </c>
      <c r="E5" s="8" t="s">
        <v>59</v>
      </c>
      <c r="F5" s="9"/>
      <c r="G5" s="9" t="s">
        <v>63</v>
      </c>
      <c r="H5" s="10"/>
      <c r="I5" s="9" t="s">
        <v>64</v>
      </c>
      <c r="J5" s="10"/>
      <c r="K5" s="11" t="s">
        <v>66</v>
      </c>
      <c r="L5" s="15" t="s">
        <v>69</v>
      </c>
      <c r="M5" s="9" t="s">
        <v>70</v>
      </c>
      <c r="N5" s="9"/>
      <c r="O5" s="9" t="s">
        <v>59</v>
      </c>
      <c r="P5" s="9"/>
      <c r="Q5" s="9" t="s">
        <v>73</v>
      </c>
      <c r="R5" s="10"/>
      <c r="S5" s="9" t="s">
        <v>75</v>
      </c>
      <c r="T5" s="10"/>
      <c r="U5" s="11" t="s">
        <v>76</v>
      </c>
      <c r="V5" s="15" t="s">
        <v>69</v>
      </c>
      <c r="W5" s="9" t="s">
        <v>70</v>
      </c>
      <c r="X5" s="9"/>
      <c r="Y5" s="9" t="s">
        <v>59</v>
      </c>
      <c r="Z5" s="9"/>
      <c r="AA5" s="9" t="s">
        <v>73</v>
      </c>
      <c r="AB5" s="10"/>
      <c r="AC5" s="9" t="s">
        <v>75</v>
      </c>
      <c r="AD5" s="10"/>
      <c r="AE5" s="11" t="s">
        <v>84</v>
      </c>
    </row>
    <row r="6" spans="2:31" ht="30" customHeight="1" x14ac:dyDescent="0.15">
      <c r="B6" s="16" t="s">
        <v>150</v>
      </c>
      <c r="C6" s="16" t="s">
        <v>151</v>
      </c>
      <c r="D6" s="17">
        <f>2.85*1.7</f>
        <v>4.8449999999999998</v>
      </c>
      <c r="E6" s="18">
        <v>6.51</v>
      </c>
      <c r="F6" s="19" t="s">
        <v>1</v>
      </c>
      <c r="G6" s="19">
        <f>D6</f>
        <v>4.8449999999999998</v>
      </c>
      <c r="H6" s="19" t="s">
        <v>1</v>
      </c>
      <c r="I6" s="19">
        <v>1</v>
      </c>
      <c r="J6" s="19" t="s">
        <v>2</v>
      </c>
      <c r="K6" s="20">
        <f>E6*G6*I6</f>
        <v>31.540949999999999</v>
      </c>
      <c r="L6" s="18"/>
      <c r="M6" s="19"/>
      <c r="N6" s="19" t="s">
        <v>1</v>
      </c>
      <c r="O6" s="19"/>
      <c r="P6" s="19" t="s">
        <v>1</v>
      </c>
      <c r="Q6" s="19"/>
      <c r="R6" s="19" t="s">
        <v>1</v>
      </c>
      <c r="S6" s="19"/>
      <c r="T6" s="19" t="s">
        <v>2</v>
      </c>
      <c r="U6" s="20"/>
      <c r="V6" s="18"/>
      <c r="W6" s="19"/>
      <c r="X6" s="19" t="s">
        <v>1</v>
      </c>
      <c r="Y6" s="19"/>
      <c r="Z6" s="19" t="s">
        <v>1</v>
      </c>
      <c r="AA6" s="19"/>
      <c r="AB6" s="19" t="s">
        <v>1</v>
      </c>
      <c r="AC6" s="19"/>
      <c r="AD6" s="19" t="s">
        <v>2</v>
      </c>
      <c r="AE6" s="20"/>
    </row>
    <row r="7" spans="2:31" ht="30" customHeight="1" x14ac:dyDescent="0.15">
      <c r="B7" s="21" t="s">
        <v>152</v>
      </c>
      <c r="C7" s="21" t="s">
        <v>151</v>
      </c>
      <c r="D7" s="22">
        <f>1.9*1.7</f>
        <v>3.23</v>
      </c>
      <c r="E7" s="23">
        <v>6.51</v>
      </c>
      <c r="F7" s="24" t="s">
        <v>1</v>
      </c>
      <c r="G7" s="25">
        <f>D7</f>
        <v>3.23</v>
      </c>
      <c r="H7" s="24" t="s">
        <v>1</v>
      </c>
      <c r="I7" s="25">
        <v>1</v>
      </c>
      <c r="J7" s="24" t="s">
        <v>2</v>
      </c>
      <c r="K7" s="26">
        <f>E7*G7*I7</f>
        <v>21.0273</v>
      </c>
      <c r="L7" s="23"/>
      <c r="M7" s="25"/>
      <c r="N7" s="24" t="s">
        <v>1</v>
      </c>
      <c r="O7" s="25"/>
      <c r="P7" s="24" t="s">
        <v>1</v>
      </c>
      <c r="Q7" s="25"/>
      <c r="R7" s="24" t="s">
        <v>1</v>
      </c>
      <c r="S7" s="25"/>
      <c r="T7" s="24" t="s">
        <v>2</v>
      </c>
      <c r="U7" s="26"/>
      <c r="V7" s="23"/>
      <c r="W7" s="25"/>
      <c r="X7" s="24" t="s">
        <v>1</v>
      </c>
      <c r="Y7" s="25"/>
      <c r="Z7" s="24" t="s">
        <v>1</v>
      </c>
      <c r="AA7" s="25"/>
      <c r="AB7" s="24" t="s">
        <v>1</v>
      </c>
      <c r="AC7" s="25"/>
      <c r="AD7" s="24" t="s">
        <v>2</v>
      </c>
      <c r="AE7" s="26"/>
    </row>
    <row r="8" spans="2:31" ht="30" customHeight="1" x14ac:dyDescent="0.15">
      <c r="B8" s="21" t="s">
        <v>154</v>
      </c>
      <c r="C8" s="21" t="s">
        <v>151</v>
      </c>
      <c r="D8" s="22">
        <f>1.9*0.3</f>
        <v>0.56999999999999995</v>
      </c>
      <c r="E8" s="23">
        <v>6.51</v>
      </c>
      <c r="F8" s="24" t="s">
        <v>1</v>
      </c>
      <c r="G8" s="25">
        <f t="shared" ref="G8:G15" si="0">D8</f>
        <v>0.56999999999999995</v>
      </c>
      <c r="H8" s="24" t="s">
        <v>1</v>
      </c>
      <c r="I8" s="25">
        <v>1</v>
      </c>
      <c r="J8" s="24" t="s">
        <v>2</v>
      </c>
      <c r="K8" s="26">
        <f t="shared" ref="K8:K15" si="1">E8*G8*I8</f>
        <v>3.7106999999999997</v>
      </c>
      <c r="L8" s="23"/>
      <c r="M8" s="25"/>
      <c r="N8" s="24" t="s">
        <v>1</v>
      </c>
      <c r="O8" s="25"/>
      <c r="P8" s="24" t="s">
        <v>1</v>
      </c>
      <c r="Q8" s="25"/>
      <c r="R8" s="24" t="s">
        <v>1</v>
      </c>
      <c r="S8" s="25"/>
      <c r="T8" s="24" t="s">
        <v>2</v>
      </c>
      <c r="U8" s="26"/>
      <c r="V8" s="23"/>
      <c r="W8" s="25"/>
      <c r="X8" s="24" t="s">
        <v>1</v>
      </c>
      <c r="Y8" s="25"/>
      <c r="Z8" s="24" t="s">
        <v>1</v>
      </c>
      <c r="AA8" s="25"/>
      <c r="AB8" s="24" t="s">
        <v>1</v>
      </c>
      <c r="AC8" s="25"/>
      <c r="AD8" s="24" t="s">
        <v>2</v>
      </c>
      <c r="AE8" s="26"/>
    </row>
    <row r="9" spans="2:31" ht="30" customHeight="1" x14ac:dyDescent="0.15">
      <c r="B9" s="21" t="s">
        <v>147</v>
      </c>
      <c r="C9" s="21" t="s">
        <v>151</v>
      </c>
      <c r="D9" s="22">
        <f>1.365*1.7</f>
        <v>2.3205</v>
      </c>
      <c r="E9" s="23">
        <v>6.51</v>
      </c>
      <c r="F9" s="24" t="s">
        <v>1</v>
      </c>
      <c r="G9" s="25">
        <f t="shared" si="0"/>
        <v>2.3205</v>
      </c>
      <c r="H9" s="24" t="s">
        <v>1</v>
      </c>
      <c r="I9" s="25">
        <v>1</v>
      </c>
      <c r="J9" s="24" t="s">
        <v>2</v>
      </c>
      <c r="K9" s="26">
        <f t="shared" si="1"/>
        <v>15.106455</v>
      </c>
      <c r="L9" s="23"/>
      <c r="M9" s="25"/>
      <c r="N9" s="24" t="s">
        <v>1</v>
      </c>
      <c r="O9" s="25"/>
      <c r="P9" s="24" t="s">
        <v>1</v>
      </c>
      <c r="Q9" s="25"/>
      <c r="R9" s="24" t="s">
        <v>1</v>
      </c>
      <c r="S9" s="25"/>
      <c r="T9" s="24" t="s">
        <v>2</v>
      </c>
      <c r="U9" s="26"/>
      <c r="V9" s="23"/>
      <c r="W9" s="25"/>
      <c r="X9" s="24" t="s">
        <v>1</v>
      </c>
      <c r="Y9" s="25"/>
      <c r="Z9" s="24" t="s">
        <v>1</v>
      </c>
      <c r="AA9" s="25"/>
      <c r="AB9" s="24" t="s">
        <v>1</v>
      </c>
      <c r="AC9" s="25"/>
      <c r="AD9" s="24" t="s">
        <v>2</v>
      </c>
      <c r="AE9" s="26"/>
    </row>
    <row r="10" spans="2:31" ht="30" customHeight="1" x14ac:dyDescent="0.15">
      <c r="B10" s="21" t="s">
        <v>146</v>
      </c>
      <c r="C10" s="21" t="s">
        <v>151</v>
      </c>
      <c r="D10" s="22">
        <f>0.95*1.7</f>
        <v>1.615</v>
      </c>
      <c r="E10" s="23">
        <v>6.51</v>
      </c>
      <c r="F10" s="24" t="s">
        <v>1</v>
      </c>
      <c r="G10" s="25">
        <f t="shared" si="0"/>
        <v>1.615</v>
      </c>
      <c r="H10" s="24" t="s">
        <v>1</v>
      </c>
      <c r="I10" s="25">
        <v>1</v>
      </c>
      <c r="J10" s="24" t="s">
        <v>2</v>
      </c>
      <c r="K10" s="26">
        <f t="shared" si="1"/>
        <v>10.51365</v>
      </c>
      <c r="L10" s="23"/>
      <c r="M10" s="25"/>
      <c r="N10" s="24" t="s">
        <v>1</v>
      </c>
      <c r="O10" s="25"/>
      <c r="P10" s="24" t="s">
        <v>1</v>
      </c>
      <c r="Q10" s="25"/>
      <c r="R10" s="24" t="s">
        <v>1</v>
      </c>
      <c r="S10" s="25"/>
      <c r="T10" s="24" t="s">
        <v>2</v>
      </c>
      <c r="U10" s="26"/>
      <c r="V10" s="23"/>
      <c r="W10" s="25"/>
      <c r="X10" s="24" t="s">
        <v>1</v>
      </c>
      <c r="Y10" s="25"/>
      <c r="Z10" s="24" t="s">
        <v>1</v>
      </c>
      <c r="AA10" s="25"/>
      <c r="AB10" s="24" t="s">
        <v>1</v>
      </c>
      <c r="AC10" s="25"/>
      <c r="AD10" s="24" t="s">
        <v>2</v>
      </c>
      <c r="AE10" s="26"/>
    </row>
    <row r="11" spans="2:31" ht="30" customHeight="1" x14ac:dyDescent="0.15">
      <c r="B11" s="21" t="s">
        <v>114</v>
      </c>
      <c r="C11" s="21" t="s">
        <v>151</v>
      </c>
      <c r="D11" s="22">
        <f>2.85*1.3</f>
        <v>3.7050000000000001</v>
      </c>
      <c r="E11" s="23">
        <v>6.51</v>
      </c>
      <c r="F11" s="24" t="s">
        <v>1</v>
      </c>
      <c r="G11" s="25">
        <f t="shared" si="0"/>
        <v>3.7050000000000001</v>
      </c>
      <c r="H11" s="24" t="s">
        <v>1</v>
      </c>
      <c r="I11" s="25">
        <v>1</v>
      </c>
      <c r="J11" s="24" t="s">
        <v>2</v>
      </c>
      <c r="K11" s="26">
        <f t="shared" si="1"/>
        <v>24.11955</v>
      </c>
      <c r="L11" s="23"/>
      <c r="M11" s="25"/>
      <c r="N11" s="24" t="s">
        <v>1</v>
      </c>
      <c r="O11" s="25"/>
      <c r="P11" s="24" t="s">
        <v>1</v>
      </c>
      <c r="Q11" s="25"/>
      <c r="R11" s="24" t="s">
        <v>1</v>
      </c>
      <c r="S11" s="25"/>
      <c r="T11" s="24" t="s">
        <v>2</v>
      </c>
      <c r="U11" s="26"/>
      <c r="V11" s="23"/>
      <c r="W11" s="25"/>
      <c r="X11" s="24" t="s">
        <v>1</v>
      </c>
      <c r="Y11" s="25"/>
      <c r="Z11" s="24" t="s">
        <v>1</v>
      </c>
      <c r="AA11" s="25"/>
      <c r="AB11" s="24" t="s">
        <v>1</v>
      </c>
      <c r="AC11" s="25"/>
      <c r="AD11" s="24" t="s">
        <v>2</v>
      </c>
      <c r="AE11" s="26"/>
    </row>
    <row r="12" spans="2:31" ht="30" customHeight="1" x14ac:dyDescent="0.15">
      <c r="B12" s="21" t="s">
        <v>122</v>
      </c>
      <c r="C12" s="21" t="s">
        <v>151</v>
      </c>
      <c r="D12" s="22">
        <f>2.85*1.3</f>
        <v>3.7050000000000001</v>
      </c>
      <c r="E12" s="23">
        <v>6.51</v>
      </c>
      <c r="F12" s="24" t="s">
        <v>1</v>
      </c>
      <c r="G12" s="25">
        <f t="shared" si="0"/>
        <v>3.7050000000000001</v>
      </c>
      <c r="H12" s="24" t="s">
        <v>1</v>
      </c>
      <c r="I12" s="25">
        <v>1</v>
      </c>
      <c r="J12" s="24" t="s">
        <v>2</v>
      </c>
      <c r="K12" s="26">
        <f t="shared" si="1"/>
        <v>24.11955</v>
      </c>
      <c r="L12" s="23"/>
      <c r="M12" s="25"/>
      <c r="N12" s="24" t="s">
        <v>1</v>
      </c>
      <c r="O12" s="25"/>
      <c r="P12" s="24" t="s">
        <v>1</v>
      </c>
      <c r="Q12" s="25"/>
      <c r="R12" s="24" t="s">
        <v>1</v>
      </c>
      <c r="S12" s="25"/>
      <c r="T12" s="24" t="s">
        <v>2</v>
      </c>
      <c r="U12" s="26"/>
      <c r="V12" s="23"/>
      <c r="W12" s="25"/>
      <c r="X12" s="24" t="s">
        <v>1</v>
      </c>
      <c r="Y12" s="25"/>
      <c r="Z12" s="24" t="s">
        <v>1</v>
      </c>
      <c r="AA12" s="25"/>
      <c r="AB12" s="24" t="s">
        <v>1</v>
      </c>
      <c r="AC12" s="25"/>
      <c r="AD12" s="24" t="s">
        <v>2</v>
      </c>
      <c r="AE12" s="26"/>
    </row>
    <row r="13" spans="2:31" ht="30" customHeight="1" x14ac:dyDescent="0.15">
      <c r="B13" s="21" t="s">
        <v>153</v>
      </c>
      <c r="C13" s="21" t="s">
        <v>151</v>
      </c>
      <c r="D13" s="22">
        <f>2.85*0.3</f>
        <v>0.85499999999999998</v>
      </c>
      <c r="E13" s="23">
        <v>6.51</v>
      </c>
      <c r="F13" s="24" t="s">
        <v>1</v>
      </c>
      <c r="G13" s="25">
        <f t="shared" si="0"/>
        <v>0.85499999999999998</v>
      </c>
      <c r="H13" s="24" t="s">
        <v>1</v>
      </c>
      <c r="I13" s="25">
        <v>1</v>
      </c>
      <c r="J13" s="24" t="s">
        <v>2</v>
      </c>
      <c r="K13" s="26">
        <f t="shared" si="1"/>
        <v>5.5660499999999997</v>
      </c>
      <c r="L13" s="23"/>
      <c r="M13" s="25"/>
      <c r="N13" s="24" t="s">
        <v>1</v>
      </c>
      <c r="O13" s="25"/>
      <c r="P13" s="24" t="s">
        <v>1</v>
      </c>
      <c r="Q13" s="25"/>
      <c r="R13" s="24" t="s">
        <v>1</v>
      </c>
      <c r="S13" s="25"/>
      <c r="T13" s="24" t="s">
        <v>2</v>
      </c>
      <c r="U13" s="26"/>
      <c r="V13" s="23"/>
      <c r="W13" s="25"/>
      <c r="X13" s="24" t="s">
        <v>1</v>
      </c>
      <c r="Y13" s="25"/>
      <c r="Z13" s="24" t="s">
        <v>1</v>
      </c>
      <c r="AA13" s="25"/>
      <c r="AB13" s="24" t="s">
        <v>1</v>
      </c>
      <c r="AC13" s="25"/>
      <c r="AD13" s="24" t="s">
        <v>2</v>
      </c>
      <c r="AE13" s="26"/>
    </row>
    <row r="14" spans="2:31" ht="30" customHeight="1" x14ac:dyDescent="0.15">
      <c r="B14" s="21" t="s">
        <v>126</v>
      </c>
      <c r="C14" s="21" t="s">
        <v>151</v>
      </c>
      <c r="D14" s="22">
        <f>1.365*1.3</f>
        <v>1.7745</v>
      </c>
      <c r="E14" s="23">
        <v>6.51</v>
      </c>
      <c r="F14" s="24" t="s">
        <v>1</v>
      </c>
      <c r="G14" s="25">
        <f t="shared" si="0"/>
        <v>1.7745</v>
      </c>
      <c r="H14" s="24" t="s">
        <v>1</v>
      </c>
      <c r="I14" s="25">
        <v>1</v>
      </c>
      <c r="J14" s="24" t="s">
        <v>2</v>
      </c>
      <c r="K14" s="26">
        <f t="shared" si="1"/>
        <v>11.551995</v>
      </c>
      <c r="L14" s="23"/>
      <c r="M14" s="25"/>
      <c r="N14" s="24" t="s">
        <v>1</v>
      </c>
      <c r="O14" s="25"/>
      <c r="P14" s="24" t="s">
        <v>1</v>
      </c>
      <c r="Q14" s="25"/>
      <c r="R14" s="24" t="s">
        <v>1</v>
      </c>
      <c r="S14" s="25"/>
      <c r="T14" s="24" t="s">
        <v>2</v>
      </c>
      <c r="U14" s="26"/>
      <c r="V14" s="23"/>
      <c r="W14" s="25"/>
      <c r="X14" s="24" t="s">
        <v>1</v>
      </c>
      <c r="Y14" s="25"/>
      <c r="Z14" s="24" t="s">
        <v>1</v>
      </c>
      <c r="AA14" s="25"/>
      <c r="AB14" s="24" t="s">
        <v>1</v>
      </c>
      <c r="AC14" s="25"/>
      <c r="AD14" s="24" t="s">
        <v>2</v>
      </c>
      <c r="AE14" s="26"/>
    </row>
    <row r="15" spans="2:31" ht="30" customHeight="1" x14ac:dyDescent="0.15">
      <c r="B15" s="21" t="s">
        <v>129</v>
      </c>
      <c r="C15" s="21" t="s">
        <v>151</v>
      </c>
      <c r="D15" s="22">
        <f>0.95*1.15</f>
        <v>1.0924999999999998</v>
      </c>
      <c r="E15" s="23">
        <v>6.51</v>
      </c>
      <c r="F15" s="24" t="s">
        <v>1</v>
      </c>
      <c r="G15" s="25">
        <f t="shared" si="0"/>
        <v>1.0924999999999998</v>
      </c>
      <c r="H15" s="24" t="s">
        <v>1</v>
      </c>
      <c r="I15" s="25">
        <v>1</v>
      </c>
      <c r="J15" s="24" t="s">
        <v>2</v>
      </c>
      <c r="K15" s="26">
        <f t="shared" si="1"/>
        <v>7.1121749999999988</v>
      </c>
      <c r="L15" s="23"/>
      <c r="M15" s="25"/>
      <c r="N15" s="24" t="s">
        <v>1</v>
      </c>
      <c r="O15" s="25"/>
      <c r="P15" s="24" t="s">
        <v>1</v>
      </c>
      <c r="Q15" s="25"/>
      <c r="R15" s="24" t="s">
        <v>1</v>
      </c>
      <c r="S15" s="25"/>
      <c r="T15" s="24" t="s">
        <v>2</v>
      </c>
      <c r="U15" s="26"/>
      <c r="V15" s="23"/>
      <c r="W15" s="25"/>
      <c r="X15" s="24" t="s">
        <v>1</v>
      </c>
      <c r="Y15" s="25"/>
      <c r="Z15" s="24" t="s">
        <v>1</v>
      </c>
      <c r="AA15" s="25"/>
      <c r="AB15" s="24" t="s">
        <v>1</v>
      </c>
      <c r="AC15" s="25"/>
      <c r="AD15" s="24" t="s">
        <v>2</v>
      </c>
      <c r="AE15" s="26"/>
    </row>
    <row r="16" spans="2:31" ht="30" customHeight="1" x14ac:dyDescent="0.15">
      <c r="B16" s="21"/>
      <c r="C16" s="21"/>
      <c r="D16" s="22"/>
      <c r="E16" s="23"/>
      <c r="F16" s="24" t="s">
        <v>1</v>
      </c>
      <c r="G16" s="25"/>
      <c r="H16" s="24" t="s">
        <v>1</v>
      </c>
      <c r="I16" s="25"/>
      <c r="J16" s="24" t="s">
        <v>2</v>
      </c>
      <c r="K16" s="26"/>
      <c r="L16" s="23"/>
      <c r="M16" s="25"/>
      <c r="N16" s="24" t="s">
        <v>1</v>
      </c>
      <c r="O16" s="25"/>
      <c r="P16" s="24" t="s">
        <v>1</v>
      </c>
      <c r="Q16" s="25"/>
      <c r="R16" s="24" t="s">
        <v>1</v>
      </c>
      <c r="S16" s="25"/>
      <c r="T16" s="24" t="s">
        <v>2</v>
      </c>
      <c r="U16" s="26"/>
      <c r="V16" s="23"/>
      <c r="W16" s="25"/>
      <c r="X16" s="24" t="s">
        <v>1</v>
      </c>
      <c r="Y16" s="25"/>
      <c r="Z16" s="24" t="s">
        <v>1</v>
      </c>
      <c r="AA16" s="25"/>
      <c r="AB16" s="24" t="s">
        <v>1</v>
      </c>
      <c r="AC16" s="25"/>
      <c r="AD16" s="24" t="s">
        <v>2</v>
      </c>
      <c r="AE16" s="26"/>
    </row>
    <row r="17" spans="2:31" ht="30" customHeight="1" x14ac:dyDescent="0.15">
      <c r="B17" s="21"/>
      <c r="C17" s="21"/>
      <c r="D17" s="22"/>
      <c r="E17" s="23"/>
      <c r="F17" s="24" t="s">
        <v>1</v>
      </c>
      <c r="G17" s="25"/>
      <c r="H17" s="24" t="s">
        <v>1</v>
      </c>
      <c r="I17" s="25"/>
      <c r="J17" s="24" t="s">
        <v>2</v>
      </c>
      <c r="K17" s="26"/>
      <c r="L17" s="23"/>
      <c r="M17" s="25"/>
      <c r="N17" s="24" t="s">
        <v>1</v>
      </c>
      <c r="O17" s="25"/>
      <c r="P17" s="24" t="s">
        <v>1</v>
      </c>
      <c r="Q17" s="25"/>
      <c r="R17" s="24" t="s">
        <v>1</v>
      </c>
      <c r="S17" s="25"/>
      <c r="T17" s="24" t="s">
        <v>2</v>
      </c>
      <c r="U17" s="26"/>
      <c r="V17" s="23"/>
      <c r="W17" s="25"/>
      <c r="X17" s="24" t="s">
        <v>1</v>
      </c>
      <c r="Y17" s="25"/>
      <c r="Z17" s="24" t="s">
        <v>1</v>
      </c>
      <c r="AA17" s="25"/>
      <c r="AB17" s="24" t="s">
        <v>1</v>
      </c>
      <c r="AC17" s="25"/>
      <c r="AD17" s="24" t="s">
        <v>2</v>
      </c>
      <c r="AE17" s="26"/>
    </row>
    <row r="18" spans="2:31" ht="30" customHeight="1" x14ac:dyDescent="0.15">
      <c r="B18" s="21"/>
      <c r="C18" s="21"/>
      <c r="D18" s="22"/>
      <c r="E18" s="23"/>
      <c r="F18" s="24" t="s">
        <v>1</v>
      </c>
      <c r="G18" s="25"/>
      <c r="H18" s="24" t="s">
        <v>1</v>
      </c>
      <c r="I18" s="25"/>
      <c r="J18" s="24" t="s">
        <v>2</v>
      </c>
      <c r="K18" s="26"/>
      <c r="L18" s="23"/>
      <c r="M18" s="25"/>
      <c r="N18" s="24" t="s">
        <v>1</v>
      </c>
      <c r="O18" s="25"/>
      <c r="P18" s="24" t="s">
        <v>1</v>
      </c>
      <c r="Q18" s="25"/>
      <c r="R18" s="24" t="s">
        <v>1</v>
      </c>
      <c r="S18" s="25"/>
      <c r="T18" s="24" t="s">
        <v>2</v>
      </c>
      <c r="U18" s="26"/>
      <c r="V18" s="23"/>
      <c r="W18" s="25"/>
      <c r="X18" s="24" t="s">
        <v>1</v>
      </c>
      <c r="Y18" s="25"/>
      <c r="Z18" s="24" t="s">
        <v>1</v>
      </c>
      <c r="AA18" s="25"/>
      <c r="AB18" s="24" t="s">
        <v>1</v>
      </c>
      <c r="AC18" s="25"/>
      <c r="AD18" s="24" t="s">
        <v>2</v>
      </c>
      <c r="AE18" s="26"/>
    </row>
    <row r="19" spans="2:31" ht="30" customHeight="1" x14ac:dyDescent="0.15">
      <c r="B19" s="27"/>
      <c r="C19" s="27"/>
      <c r="D19" s="28"/>
      <c r="E19" s="29"/>
      <c r="F19" s="24" t="s">
        <v>1</v>
      </c>
      <c r="G19" s="24"/>
      <c r="H19" s="24" t="s">
        <v>1</v>
      </c>
      <c r="I19" s="24"/>
      <c r="J19" s="24" t="s">
        <v>2</v>
      </c>
      <c r="K19" s="30"/>
      <c r="L19" s="29"/>
      <c r="M19" s="24"/>
      <c r="N19" s="24" t="s">
        <v>1</v>
      </c>
      <c r="O19" s="24"/>
      <c r="P19" s="24" t="s">
        <v>1</v>
      </c>
      <c r="Q19" s="24"/>
      <c r="R19" s="24" t="s">
        <v>1</v>
      </c>
      <c r="S19" s="24"/>
      <c r="T19" s="24" t="s">
        <v>2</v>
      </c>
      <c r="U19" s="30"/>
      <c r="V19" s="29"/>
      <c r="W19" s="24"/>
      <c r="X19" s="24" t="s">
        <v>1</v>
      </c>
      <c r="Y19" s="24"/>
      <c r="Z19" s="24" t="s">
        <v>1</v>
      </c>
      <c r="AA19" s="24"/>
      <c r="AB19" s="24" t="s">
        <v>1</v>
      </c>
      <c r="AC19" s="24"/>
      <c r="AD19" s="24" t="s">
        <v>2</v>
      </c>
      <c r="AE19" s="30"/>
    </row>
    <row r="20" spans="2:31" ht="30" customHeight="1" x14ac:dyDescent="0.15">
      <c r="B20" s="27"/>
      <c r="C20" s="27"/>
      <c r="D20" s="28"/>
      <c r="E20" s="29"/>
      <c r="F20" s="24" t="s">
        <v>1</v>
      </c>
      <c r="G20" s="24"/>
      <c r="H20" s="24" t="s">
        <v>1</v>
      </c>
      <c r="I20" s="24"/>
      <c r="J20" s="24" t="s">
        <v>2</v>
      </c>
      <c r="K20" s="30"/>
      <c r="L20" s="29"/>
      <c r="M20" s="24"/>
      <c r="N20" s="24" t="s">
        <v>1</v>
      </c>
      <c r="O20" s="24"/>
      <c r="P20" s="24" t="s">
        <v>1</v>
      </c>
      <c r="Q20" s="24"/>
      <c r="R20" s="24" t="s">
        <v>1</v>
      </c>
      <c r="S20" s="24"/>
      <c r="T20" s="24" t="s">
        <v>2</v>
      </c>
      <c r="U20" s="30"/>
      <c r="V20" s="29"/>
      <c r="W20" s="24"/>
      <c r="X20" s="24" t="s">
        <v>1</v>
      </c>
      <c r="Y20" s="24"/>
      <c r="Z20" s="24" t="s">
        <v>1</v>
      </c>
      <c r="AA20" s="24"/>
      <c r="AB20" s="24" t="s">
        <v>1</v>
      </c>
      <c r="AC20" s="24"/>
      <c r="AD20" s="24" t="s">
        <v>2</v>
      </c>
      <c r="AE20" s="30"/>
    </row>
    <row r="21" spans="2:31" ht="30" customHeight="1" x14ac:dyDescent="0.15">
      <c r="B21" s="27"/>
      <c r="C21" s="27"/>
      <c r="D21" s="28"/>
      <c r="E21" s="29"/>
      <c r="F21" s="24" t="s">
        <v>1</v>
      </c>
      <c r="G21" s="24"/>
      <c r="H21" s="24" t="s">
        <v>1</v>
      </c>
      <c r="I21" s="24"/>
      <c r="J21" s="24" t="s">
        <v>2</v>
      </c>
      <c r="K21" s="30"/>
      <c r="L21" s="29"/>
      <c r="M21" s="24"/>
      <c r="N21" s="24" t="s">
        <v>1</v>
      </c>
      <c r="O21" s="24"/>
      <c r="P21" s="24" t="s">
        <v>1</v>
      </c>
      <c r="Q21" s="24"/>
      <c r="R21" s="24" t="s">
        <v>1</v>
      </c>
      <c r="S21" s="24"/>
      <c r="T21" s="24" t="s">
        <v>2</v>
      </c>
      <c r="U21" s="30"/>
      <c r="V21" s="29"/>
      <c r="W21" s="24"/>
      <c r="X21" s="24" t="s">
        <v>1</v>
      </c>
      <c r="Y21" s="24"/>
      <c r="Z21" s="24" t="s">
        <v>1</v>
      </c>
      <c r="AA21" s="24"/>
      <c r="AB21" s="24" t="s">
        <v>1</v>
      </c>
      <c r="AC21" s="24"/>
      <c r="AD21" s="24" t="s">
        <v>2</v>
      </c>
      <c r="AE21" s="30"/>
    </row>
    <row r="22" spans="2:31" ht="30" customHeight="1" x14ac:dyDescent="0.15">
      <c r="B22" s="27"/>
      <c r="C22" s="27"/>
      <c r="D22" s="28"/>
      <c r="E22" s="29"/>
      <c r="F22" s="24" t="s">
        <v>1</v>
      </c>
      <c r="G22" s="24"/>
      <c r="H22" s="24" t="s">
        <v>1</v>
      </c>
      <c r="I22" s="24"/>
      <c r="J22" s="24" t="s">
        <v>2</v>
      </c>
      <c r="K22" s="30"/>
      <c r="L22" s="29"/>
      <c r="M22" s="24"/>
      <c r="N22" s="24" t="s">
        <v>1</v>
      </c>
      <c r="O22" s="24"/>
      <c r="P22" s="24" t="s">
        <v>1</v>
      </c>
      <c r="Q22" s="24"/>
      <c r="R22" s="24" t="s">
        <v>1</v>
      </c>
      <c r="S22" s="24"/>
      <c r="T22" s="24" t="s">
        <v>2</v>
      </c>
      <c r="U22" s="30"/>
      <c r="V22" s="29"/>
      <c r="W22" s="24"/>
      <c r="X22" s="24" t="s">
        <v>1</v>
      </c>
      <c r="Y22" s="24"/>
      <c r="Z22" s="24" t="s">
        <v>1</v>
      </c>
      <c r="AA22" s="24"/>
      <c r="AB22" s="24" t="s">
        <v>1</v>
      </c>
      <c r="AC22" s="24"/>
      <c r="AD22" s="24" t="s">
        <v>2</v>
      </c>
      <c r="AE22" s="30"/>
    </row>
    <row r="23" spans="2:31" ht="30" customHeight="1" x14ac:dyDescent="0.15">
      <c r="B23" s="27"/>
      <c r="C23" s="27"/>
      <c r="D23" s="28"/>
      <c r="E23" s="29"/>
      <c r="F23" s="24" t="s">
        <v>1</v>
      </c>
      <c r="G23" s="24"/>
      <c r="H23" s="24" t="s">
        <v>1</v>
      </c>
      <c r="I23" s="24"/>
      <c r="J23" s="24" t="s">
        <v>2</v>
      </c>
      <c r="K23" s="30"/>
      <c r="L23" s="29"/>
      <c r="M23" s="24"/>
      <c r="N23" s="24" t="s">
        <v>1</v>
      </c>
      <c r="O23" s="24"/>
      <c r="P23" s="24" t="s">
        <v>1</v>
      </c>
      <c r="Q23" s="24"/>
      <c r="R23" s="24" t="s">
        <v>1</v>
      </c>
      <c r="S23" s="24"/>
      <c r="T23" s="24" t="s">
        <v>2</v>
      </c>
      <c r="U23" s="30"/>
      <c r="V23" s="29"/>
      <c r="W23" s="24"/>
      <c r="X23" s="24" t="s">
        <v>1</v>
      </c>
      <c r="Y23" s="24"/>
      <c r="Z23" s="24" t="s">
        <v>1</v>
      </c>
      <c r="AA23" s="24"/>
      <c r="AB23" s="24" t="s">
        <v>1</v>
      </c>
      <c r="AC23" s="24"/>
      <c r="AD23" s="24" t="s">
        <v>2</v>
      </c>
      <c r="AE23" s="30"/>
    </row>
    <row r="24" spans="2:31" ht="30" customHeight="1" x14ac:dyDescent="0.15">
      <c r="B24" s="27"/>
      <c r="C24" s="27"/>
      <c r="D24" s="28"/>
      <c r="E24" s="29"/>
      <c r="F24" s="24" t="s">
        <v>1</v>
      </c>
      <c r="G24" s="24"/>
      <c r="H24" s="24" t="s">
        <v>1</v>
      </c>
      <c r="I24" s="24"/>
      <c r="J24" s="24" t="s">
        <v>2</v>
      </c>
      <c r="K24" s="30"/>
      <c r="L24" s="29"/>
      <c r="M24" s="24"/>
      <c r="N24" s="24" t="s">
        <v>1</v>
      </c>
      <c r="O24" s="24"/>
      <c r="P24" s="24" t="s">
        <v>1</v>
      </c>
      <c r="Q24" s="24"/>
      <c r="R24" s="24" t="s">
        <v>1</v>
      </c>
      <c r="S24" s="24"/>
      <c r="T24" s="24" t="s">
        <v>2</v>
      </c>
      <c r="U24" s="30"/>
      <c r="V24" s="29"/>
      <c r="W24" s="24"/>
      <c r="X24" s="24" t="s">
        <v>1</v>
      </c>
      <c r="Y24" s="24"/>
      <c r="Z24" s="24" t="s">
        <v>1</v>
      </c>
      <c r="AA24" s="24"/>
      <c r="AB24" s="24" t="s">
        <v>1</v>
      </c>
      <c r="AC24" s="24"/>
      <c r="AD24" s="24" t="s">
        <v>2</v>
      </c>
      <c r="AE24" s="30"/>
    </row>
    <row r="25" spans="2:31" ht="30" customHeight="1" x14ac:dyDescent="0.15">
      <c r="B25" s="27"/>
      <c r="C25" s="27"/>
      <c r="D25" s="28"/>
      <c r="E25" s="29"/>
      <c r="F25" s="24" t="s">
        <v>1</v>
      </c>
      <c r="G25" s="24"/>
      <c r="H25" s="24" t="s">
        <v>1</v>
      </c>
      <c r="I25" s="24"/>
      <c r="J25" s="24" t="s">
        <v>2</v>
      </c>
      <c r="K25" s="30"/>
      <c r="L25" s="29"/>
      <c r="M25" s="24"/>
      <c r="N25" s="24" t="s">
        <v>1</v>
      </c>
      <c r="O25" s="24"/>
      <c r="P25" s="24" t="s">
        <v>1</v>
      </c>
      <c r="Q25" s="24"/>
      <c r="R25" s="24" t="s">
        <v>1</v>
      </c>
      <c r="S25" s="24"/>
      <c r="T25" s="24" t="s">
        <v>2</v>
      </c>
      <c r="U25" s="30"/>
      <c r="V25" s="29"/>
      <c r="W25" s="24"/>
      <c r="X25" s="24" t="s">
        <v>1</v>
      </c>
      <c r="Y25" s="24"/>
      <c r="Z25" s="24" t="s">
        <v>1</v>
      </c>
      <c r="AA25" s="24"/>
      <c r="AB25" s="24" t="s">
        <v>1</v>
      </c>
      <c r="AC25" s="24"/>
      <c r="AD25" s="24" t="s">
        <v>2</v>
      </c>
      <c r="AE25" s="30"/>
    </row>
    <row r="26" spans="2:31" ht="30" customHeight="1" x14ac:dyDescent="0.15">
      <c r="B26" s="27"/>
      <c r="C26" s="27"/>
      <c r="D26" s="28"/>
      <c r="E26" s="29"/>
      <c r="F26" s="24" t="s">
        <v>1</v>
      </c>
      <c r="G26" s="24"/>
      <c r="H26" s="24" t="s">
        <v>1</v>
      </c>
      <c r="I26" s="24"/>
      <c r="J26" s="24" t="s">
        <v>2</v>
      </c>
      <c r="K26" s="30"/>
      <c r="L26" s="29"/>
      <c r="M26" s="24"/>
      <c r="N26" s="24" t="s">
        <v>1</v>
      </c>
      <c r="O26" s="24"/>
      <c r="P26" s="24" t="s">
        <v>1</v>
      </c>
      <c r="Q26" s="24"/>
      <c r="R26" s="24" t="s">
        <v>1</v>
      </c>
      <c r="S26" s="24"/>
      <c r="T26" s="24" t="s">
        <v>2</v>
      </c>
      <c r="U26" s="30"/>
      <c r="V26" s="29"/>
      <c r="W26" s="24"/>
      <c r="X26" s="24" t="s">
        <v>1</v>
      </c>
      <c r="Y26" s="24"/>
      <c r="Z26" s="24" t="s">
        <v>1</v>
      </c>
      <c r="AA26" s="24"/>
      <c r="AB26" s="24" t="s">
        <v>1</v>
      </c>
      <c r="AC26" s="24"/>
      <c r="AD26" s="24" t="s">
        <v>2</v>
      </c>
      <c r="AE26" s="30"/>
    </row>
    <row r="27" spans="2:31" ht="30" customHeight="1" x14ac:dyDescent="0.15">
      <c r="B27" s="27"/>
      <c r="C27" s="27"/>
      <c r="D27" s="28"/>
      <c r="E27" s="29"/>
      <c r="F27" s="24" t="s">
        <v>1</v>
      </c>
      <c r="G27" s="24"/>
      <c r="H27" s="24" t="s">
        <v>1</v>
      </c>
      <c r="I27" s="24"/>
      <c r="J27" s="24" t="s">
        <v>2</v>
      </c>
      <c r="K27" s="30"/>
      <c r="L27" s="29"/>
      <c r="M27" s="24"/>
      <c r="N27" s="24" t="s">
        <v>1</v>
      </c>
      <c r="O27" s="24"/>
      <c r="P27" s="24" t="s">
        <v>1</v>
      </c>
      <c r="Q27" s="24"/>
      <c r="R27" s="24" t="s">
        <v>1</v>
      </c>
      <c r="S27" s="24"/>
      <c r="T27" s="24" t="s">
        <v>2</v>
      </c>
      <c r="U27" s="30"/>
      <c r="V27" s="29"/>
      <c r="W27" s="24"/>
      <c r="X27" s="24" t="s">
        <v>1</v>
      </c>
      <c r="Y27" s="24"/>
      <c r="Z27" s="24" t="s">
        <v>1</v>
      </c>
      <c r="AA27" s="24"/>
      <c r="AB27" s="24" t="s">
        <v>1</v>
      </c>
      <c r="AC27" s="24"/>
      <c r="AD27" s="24" t="s">
        <v>2</v>
      </c>
      <c r="AE27" s="30"/>
    </row>
    <row r="28" spans="2:31" ht="30" customHeight="1" x14ac:dyDescent="0.15">
      <c r="B28" s="27"/>
      <c r="C28" s="27"/>
      <c r="D28" s="28"/>
      <c r="E28" s="29"/>
      <c r="F28" s="24" t="s">
        <v>1</v>
      </c>
      <c r="G28" s="24"/>
      <c r="H28" s="24" t="s">
        <v>1</v>
      </c>
      <c r="I28" s="24"/>
      <c r="J28" s="24" t="s">
        <v>2</v>
      </c>
      <c r="K28" s="30"/>
      <c r="L28" s="29"/>
      <c r="M28" s="24"/>
      <c r="N28" s="24" t="s">
        <v>1</v>
      </c>
      <c r="O28" s="24"/>
      <c r="P28" s="24" t="s">
        <v>1</v>
      </c>
      <c r="Q28" s="24"/>
      <c r="R28" s="24" t="s">
        <v>1</v>
      </c>
      <c r="S28" s="24"/>
      <c r="T28" s="24" t="s">
        <v>2</v>
      </c>
      <c r="U28" s="30"/>
      <c r="V28" s="29"/>
      <c r="W28" s="24"/>
      <c r="X28" s="24" t="s">
        <v>1</v>
      </c>
      <c r="Y28" s="24"/>
      <c r="Z28" s="24" t="s">
        <v>1</v>
      </c>
      <c r="AA28" s="24"/>
      <c r="AB28" s="24" t="s">
        <v>1</v>
      </c>
      <c r="AC28" s="24"/>
      <c r="AD28" s="24" t="s">
        <v>2</v>
      </c>
      <c r="AE28" s="30"/>
    </row>
    <row r="29" spans="2:31" ht="30" customHeight="1" x14ac:dyDescent="0.15">
      <c r="B29" s="27"/>
      <c r="C29" s="27"/>
      <c r="D29" s="28"/>
      <c r="E29" s="29"/>
      <c r="F29" s="24" t="s">
        <v>1</v>
      </c>
      <c r="G29" s="24"/>
      <c r="H29" s="24" t="s">
        <v>1</v>
      </c>
      <c r="I29" s="24"/>
      <c r="J29" s="24" t="s">
        <v>2</v>
      </c>
      <c r="K29" s="30"/>
      <c r="L29" s="29"/>
      <c r="M29" s="24"/>
      <c r="N29" s="24" t="s">
        <v>1</v>
      </c>
      <c r="O29" s="24"/>
      <c r="P29" s="24" t="s">
        <v>1</v>
      </c>
      <c r="Q29" s="24"/>
      <c r="R29" s="24" t="s">
        <v>1</v>
      </c>
      <c r="S29" s="24"/>
      <c r="T29" s="24" t="s">
        <v>2</v>
      </c>
      <c r="U29" s="30"/>
      <c r="V29" s="29"/>
      <c r="W29" s="24"/>
      <c r="X29" s="24" t="s">
        <v>1</v>
      </c>
      <c r="Y29" s="24"/>
      <c r="Z29" s="24" t="s">
        <v>1</v>
      </c>
      <c r="AA29" s="24"/>
      <c r="AB29" s="24" t="s">
        <v>1</v>
      </c>
      <c r="AC29" s="24"/>
      <c r="AD29" s="24" t="s">
        <v>2</v>
      </c>
      <c r="AE29" s="30"/>
    </row>
    <row r="30" spans="2:31" ht="30" customHeight="1" x14ac:dyDescent="0.15">
      <c r="B30" s="27"/>
      <c r="C30" s="27"/>
      <c r="D30" s="28"/>
      <c r="E30" s="29"/>
      <c r="F30" s="24" t="s">
        <v>1</v>
      </c>
      <c r="G30" s="24"/>
      <c r="H30" s="24" t="s">
        <v>1</v>
      </c>
      <c r="I30" s="24"/>
      <c r="J30" s="24" t="s">
        <v>2</v>
      </c>
      <c r="K30" s="30"/>
      <c r="L30" s="29"/>
      <c r="M30" s="24"/>
      <c r="N30" s="24" t="s">
        <v>1</v>
      </c>
      <c r="O30" s="24"/>
      <c r="P30" s="24" t="s">
        <v>1</v>
      </c>
      <c r="Q30" s="24"/>
      <c r="R30" s="24" t="s">
        <v>1</v>
      </c>
      <c r="S30" s="24"/>
      <c r="T30" s="24" t="s">
        <v>2</v>
      </c>
      <c r="U30" s="30"/>
      <c r="V30" s="29"/>
      <c r="W30" s="24"/>
      <c r="X30" s="24" t="s">
        <v>1</v>
      </c>
      <c r="Y30" s="24"/>
      <c r="Z30" s="24" t="s">
        <v>1</v>
      </c>
      <c r="AA30" s="24"/>
      <c r="AB30" s="24" t="s">
        <v>1</v>
      </c>
      <c r="AC30" s="24"/>
      <c r="AD30" s="24" t="s">
        <v>2</v>
      </c>
      <c r="AE30" s="30"/>
    </row>
    <row r="31" spans="2:31" ht="30" customHeight="1" x14ac:dyDescent="0.15">
      <c r="B31" s="27"/>
      <c r="C31" s="27"/>
      <c r="D31" s="28"/>
      <c r="E31" s="29"/>
      <c r="F31" s="24" t="s">
        <v>1</v>
      </c>
      <c r="G31" s="24"/>
      <c r="H31" s="24" t="s">
        <v>1</v>
      </c>
      <c r="I31" s="24"/>
      <c r="J31" s="24" t="s">
        <v>2</v>
      </c>
      <c r="K31" s="30"/>
      <c r="L31" s="29"/>
      <c r="M31" s="24"/>
      <c r="N31" s="24" t="s">
        <v>1</v>
      </c>
      <c r="O31" s="24"/>
      <c r="P31" s="24" t="s">
        <v>1</v>
      </c>
      <c r="Q31" s="24"/>
      <c r="R31" s="24" t="s">
        <v>1</v>
      </c>
      <c r="S31" s="24"/>
      <c r="T31" s="24" t="s">
        <v>2</v>
      </c>
      <c r="U31" s="30"/>
      <c r="V31" s="29"/>
      <c r="W31" s="24"/>
      <c r="X31" s="24" t="s">
        <v>1</v>
      </c>
      <c r="Y31" s="24"/>
      <c r="Z31" s="24" t="s">
        <v>1</v>
      </c>
      <c r="AA31" s="24"/>
      <c r="AB31" s="24" t="s">
        <v>1</v>
      </c>
      <c r="AC31" s="24"/>
      <c r="AD31" s="24" t="s">
        <v>2</v>
      </c>
      <c r="AE31" s="30"/>
    </row>
    <row r="32" spans="2:31" ht="30" customHeight="1" x14ac:dyDescent="0.15">
      <c r="B32" s="27"/>
      <c r="C32" s="27"/>
      <c r="D32" s="28"/>
      <c r="E32" s="29"/>
      <c r="F32" s="24" t="s">
        <v>1</v>
      </c>
      <c r="G32" s="24"/>
      <c r="H32" s="24" t="s">
        <v>1</v>
      </c>
      <c r="I32" s="24"/>
      <c r="J32" s="24" t="s">
        <v>2</v>
      </c>
      <c r="K32" s="30"/>
      <c r="L32" s="29"/>
      <c r="M32" s="24"/>
      <c r="N32" s="24" t="s">
        <v>1</v>
      </c>
      <c r="O32" s="24"/>
      <c r="P32" s="24" t="s">
        <v>1</v>
      </c>
      <c r="Q32" s="24"/>
      <c r="R32" s="24" t="s">
        <v>1</v>
      </c>
      <c r="S32" s="24"/>
      <c r="T32" s="24" t="s">
        <v>2</v>
      </c>
      <c r="U32" s="30"/>
      <c r="V32" s="29"/>
      <c r="W32" s="24"/>
      <c r="X32" s="24" t="s">
        <v>1</v>
      </c>
      <c r="Y32" s="24"/>
      <c r="Z32" s="24" t="s">
        <v>1</v>
      </c>
      <c r="AA32" s="24"/>
      <c r="AB32" s="24" t="s">
        <v>1</v>
      </c>
      <c r="AC32" s="24"/>
      <c r="AD32" s="24" t="s">
        <v>2</v>
      </c>
      <c r="AE32" s="30"/>
    </row>
    <row r="33" spans="2:31" ht="30" customHeight="1" x14ac:dyDescent="0.15">
      <c r="B33" s="27"/>
      <c r="C33" s="27"/>
      <c r="D33" s="28"/>
      <c r="E33" s="29"/>
      <c r="F33" s="24" t="s">
        <v>1</v>
      </c>
      <c r="G33" s="24"/>
      <c r="H33" s="24" t="s">
        <v>1</v>
      </c>
      <c r="I33" s="24"/>
      <c r="J33" s="24" t="s">
        <v>2</v>
      </c>
      <c r="K33" s="30"/>
      <c r="L33" s="29"/>
      <c r="M33" s="24"/>
      <c r="N33" s="24" t="s">
        <v>1</v>
      </c>
      <c r="O33" s="24"/>
      <c r="P33" s="24" t="s">
        <v>1</v>
      </c>
      <c r="Q33" s="24"/>
      <c r="R33" s="24" t="s">
        <v>1</v>
      </c>
      <c r="S33" s="24"/>
      <c r="T33" s="24" t="s">
        <v>2</v>
      </c>
      <c r="U33" s="30"/>
      <c r="V33" s="29"/>
      <c r="W33" s="24"/>
      <c r="X33" s="24" t="s">
        <v>1</v>
      </c>
      <c r="Y33" s="24"/>
      <c r="Z33" s="24" t="s">
        <v>1</v>
      </c>
      <c r="AA33" s="24"/>
      <c r="AB33" s="24" t="s">
        <v>1</v>
      </c>
      <c r="AC33" s="24"/>
      <c r="AD33" s="24" t="s">
        <v>2</v>
      </c>
      <c r="AE33" s="30"/>
    </row>
    <row r="34" spans="2:31" ht="30" customHeight="1" x14ac:dyDescent="0.15">
      <c r="B34" s="27"/>
      <c r="C34" s="27"/>
      <c r="D34" s="28"/>
      <c r="E34" s="29"/>
      <c r="F34" s="24" t="s">
        <v>1</v>
      </c>
      <c r="G34" s="24"/>
      <c r="H34" s="24" t="s">
        <v>1</v>
      </c>
      <c r="I34" s="24"/>
      <c r="J34" s="24" t="s">
        <v>2</v>
      </c>
      <c r="K34" s="30"/>
      <c r="L34" s="29"/>
      <c r="M34" s="24"/>
      <c r="N34" s="24" t="s">
        <v>1</v>
      </c>
      <c r="O34" s="24"/>
      <c r="P34" s="24" t="s">
        <v>1</v>
      </c>
      <c r="Q34" s="24"/>
      <c r="R34" s="24" t="s">
        <v>1</v>
      </c>
      <c r="S34" s="24"/>
      <c r="T34" s="24" t="s">
        <v>2</v>
      </c>
      <c r="U34" s="30"/>
      <c r="V34" s="29"/>
      <c r="W34" s="24"/>
      <c r="X34" s="24" t="s">
        <v>1</v>
      </c>
      <c r="Y34" s="24"/>
      <c r="Z34" s="24" t="s">
        <v>1</v>
      </c>
      <c r="AA34" s="24"/>
      <c r="AB34" s="24" t="s">
        <v>1</v>
      </c>
      <c r="AC34" s="24"/>
      <c r="AD34" s="24" t="s">
        <v>2</v>
      </c>
      <c r="AE34" s="30"/>
    </row>
    <row r="35" spans="2:31" ht="30" customHeight="1" thickBot="1" x14ac:dyDescent="0.2">
      <c r="B35" s="31"/>
      <c r="C35" s="31"/>
      <c r="D35" s="32"/>
      <c r="E35" s="33"/>
      <c r="F35" s="34" t="s">
        <v>1</v>
      </c>
      <c r="G35" s="34"/>
      <c r="H35" s="34" t="s">
        <v>1</v>
      </c>
      <c r="I35" s="34"/>
      <c r="J35" s="34" t="s">
        <v>2</v>
      </c>
      <c r="K35" s="35"/>
      <c r="L35" s="33"/>
      <c r="M35" s="34"/>
      <c r="N35" s="34" t="s">
        <v>1</v>
      </c>
      <c r="O35" s="34"/>
      <c r="P35" s="34" t="s">
        <v>1</v>
      </c>
      <c r="Q35" s="34"/>
      <c r="R35" s="34" t="s">
        <v>1</v>
      </c>
      <c r="S35" s="34"/>
      <c r="T35" s="34" t="s">
        <v>2</v>
      </c>
      <c r="U35" s="35"/>
      <c r="V35" s="33"/>
      <c r="W35" s="34"/>
      <c r="X35" s="34" t="s">
        <v>1</v>
      </c>
      <c r="Y35" s="34"/>
      <c r="Z35" s="34" t="s">
        <v>1</v>
      </c>
      <c r="AA35" s="34"/>
      <c r="AB35" s="34" t="s">
        <v>1</v>
      </c>
      <c r="AC35" s="34"/>
      <c r="AD35" s="34" t="s">
        <v>2</v>
      </c>
      <c r="AE35" s="35"/>
    </row>
    <row r="36" spans="2:31" ht="16.5" thickBot="1" x14ac:dyDescent="0.2"/>
    <row r="37" spans="2:31" ht="16.5" thickBot="1" x14ac:dyDescent="0.2">
      <c r="G37" s="13">
        <f>SUM(G6:G35)</f>
        <v>23.712499999999999</v>
      </c>
      <c r="I37" s="13" t="s">
        <v>91</v>
      </c>
      <c r="K37" s="36">
        <f>SUM(K6:K15)</f>
        <v>154.36837500000001</v>
      </c>
      <c r="S37" s="13" t="s">
        <v>91</v>
      </c>
      <c r="U37" s="36"/>
      <c r="AC37" s="13" t="s">
        <v>91</v>
      </c>
      <c r="AE37" s="36"/>
    </row>
  </sheetData>
  <mergeCells count="6">
    <mergeCell ref="V3:AE3"/>
    <mergeCell ref="B3:C3"/>
    <mergeCell ref="E3:K3"/>
    <mergeCell ref="B4:B5"/>
    <mergeCell ref="C4:C5"/>
    <mergeCell ref="L3:U3"/>
  </mergeCells>
  <phoneticPr fontId="2"/>
  <pageMargins left="0.23622047244094491" right="0.23622047244094491" top="0.74803149606299213" bottom="0.74803149606299213" header="0.31496062992125984" footer="0.31496062992125984"/>
  <pageSetup paperSize="9" scale="51" fitToWidth="3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view="pageBreakPreview" zoomScale="130" zoomScaleNormal="100" zoomScaleSheetLayoutView="130" workbookViewId="0">
      <selection activeCell="J2" sqref="J2"/>
    </sheetView>
  </sheetViews>
  <sheetFormatPr defaultRowHeight="15.75" x14ac:dyDescent="0.15"/>
  <cols>
    <col min="1" max="1" width="3.5" style="13" customWidth="1"/>
    <col min="2" max="3" width="16.25" style="13" customWidth="1"/>
    <col min="4" max="4" width="12.625" style="13" bestFit="1" customWidth="1"/>
    <col min="5" max="5" width="3.25" style="13" bestFit="1" customWidth="1"/>
    <col min="6" max="6" width="10.125" style="13" customWidth="1"/>
    <col min="7" max="7" width="3.625" style="13" bestFit="1" customWidth="1"/>
    <col min="8" max="8" width="13.625" style="13" bestFit="1" customWidth="1"/>
    <col min="9" max="9" width="3.625" style="13" bestFit="1" customWidth="1"/>
    <col min="10" max="10" width="18" style="13" customWidth="1"/>
    <col min="11" max="16384" width="9" style="13"/>
  </cols>
  <sheetData>
    <row r="2" spans="2:10" ht="21.75" thickBot="1" x14ac:dyDescent="0.2">
      <c r="B2" s="39" t="s">
        <v>5</v>
      </c>
    </row>
    <row r="3" spans="2:10" ht="30" customHeight="1" thickBot="1" x14ac:dyDescent="0.2">
      <c r="B3" s="65" t="s">
        <v>85</v>
      </c>
      <c r="C3" s="67"/>
      <c r="D3" s="68" t="s">
        <v>58</v>
      </c>
      <c r="E3" s="66"/>
      <c r="F3" s="66"/>
      <c r="G3" s="66"/>
      <c r="H3" s="66"/>
      <c r="I3" s="66"/>
      <c r="J3" s="67"/>
    </row>
    <row r="4" spans="2:10" ht="30" customHeight="1" x14ac:dyDescent="0.15">
      <c r="B4" s="69" t="s">
        <v>6</v>
      </c>
      <c r="C4" s="69" t="s">
        <v>7</v>
      </c>
      <c r="D4" s="4" t="s">
        <v>86</v>
      </c>
      <c r="E4" s="5"/>
      <c r="F4" s="5" t="s">
        <v>87</v>
      </c>
      <c r="G4" s="6"/>
      <c r="H4" s="5" t="s">
        <v>89</v>
      </c>
      <c r="I4" s="6"/>
      <c r="J4" s="7" t="s">
        <v>88</v>
      </c>
    </row>
    <row r="5" spans="2:10" ht="16.5" thickBot="1" x14ac:dyDescent="0.2">
      <c r="B5" s="70"/>
      <c r="C5" s="70"/>
      <c r="D5" s="8" t="s">
        <v>59</v>
      </c>
      <c r="E5" s="9"/>
      <c r="F5" s="9" t="s">
        <v>64</v>
      </c>
      <c r="G5" s="10"/>
      <c r="H5" s="10" t="s">
        <v>64</v>
      </c>
      <c r="I5" s="10"/>
      <c r="J5" s="11" t="s">
        <v>90</v>
      </c>
    </row>
    <row r="6" spans="2:10" ht="30" customHeight="1" x14ac:dyDescent="0.15">
      <c r="B6" s="16" t="s">
        <v>147</v>
      </c>
      <c r="C6" s="16" t="s">
        <v>145</v>
      </c>
      <c r="D6" s="18">
        <v>1.8</v>
      </c>
      <c r="E6" s="19" t="s">
        <v>1</v>
      </c>
      <c r="F6" s="19">
        <f>1.47</f>
        <v>1.47</v>
      </c>
      <c r="G6" s="19" t="s">
        <v>1</v>
      </c>
      <c r="H6" s="19">
        <v>1</v>
      </c>
      <c r="I6" s="19" t="s">
        <v>2</v>
      </c>
      <c r="J6" s="20">
        <f>D6*F6*H6</f>
        <v>2.6459999999999999</v>
      </c>
    </row>
    <row r="7" spans="2:10" ht="30" customHeight="1" x14ac:dyDescent="0.15">
      <c r="B7" s="27" t="s">
        <v>146</v>
      </c>
      <c r="C7" s="27" t="s">
        <v>145</v>
      </c>
      <c r="D7" s="29">
        <v>1.8</v>
      </c>
      <c r="E7" s="24" t="s">
        <v>1</v>
      </c>
      <c r="F7" s="24">
        <v>1.47</v>
      </c>
      <c r="G7" s="24" t="s">
        <v>1</v>
      </c>
      <c r="H7" s="24">
        <v>1</v>
      </c>
      <c r="I7" s="24" t="s">
        <v>2</v>
      </c>
      <c r="J7" s="30">
        <f>D7*F7*H7</f>
        <v>2.6459999999999999</v>
      </c>
    </row>
    <row r="8" spans="2:10" ht="30" customHeight="1" x14ac:dyDescent="0.15">
      <c r="B8" s="27" t="s">
        <v>148</v>
      </c>
      <c r="C8" s="27" t="s">
        <v>145</v>
      </c>
      <c r="D8" s="29">
        <v>1.8</v>
      </c>
      <c r="E8" s="24" t="s">
        <v>1</v>
      </c>
      <c r="F8" s="24">
        <f>2.955+2.01+3.9</f>
        <v>8.8650000000000002</v>
      </c>
      <c r="G8" s="24" t="s">
        <v>1</v>
      </c>
      <c r="H8" s="24">
        <v>1</v>
      </c>
      <c r="I8" s="24" t="s">
        <v>2</v>
      </c>
      <c r="J8" s="30">
        <f t="shared" ref="J8:J9" si="0">D8*F8*H8</f>
        <v>15.957000000000001</v>
      </c>
    </row>
    <row r="9" spans="2:10" ht="30" customHeight="1" x14ac:dyDescent="0.15">
      <c r="B9" s="27" t="s">
        <v>149</v>
      </c>
      <c r="C9" s="27" t="s">
        <v>145</v>
      </c>
      <c r="D9" s="29">
        <v>1.8</v>
      </c>
      <c r="E9" s="24" t="s">
        <v>1</v>
      </c>
      <c r="F9" s="24">
        <f>2.955+2.01+3.9</f>
        <v>8.8650000000000002</v>
      </c>
      <c r="G9" s="24" t="s">
        <v>1</v>
      </c>
      <c r="H9" s="24">
        <v>0.7</v>
      </c>
      <c r="I9" s="24" t="s">
        <v>2</v>
      </c>
      <c r="J9" s="30">
        <f t="shared" si="0"/>
        <v>11.1699</v>
      </c>
    </row>
    <row r="10" spans="2:10" ht="30" customHeight="1" x14ac:dyDescent="0.15">
      <c r="B10" s="27"/>
      <c r="C10" s="27"/>
      <c r="D10" s="29"/>
      <c r="E10" s="24" t="s">
        <v>1</v>
      </c>
      <c r="F10" s="24"/>
      <c r="G10" s="24" t="s">
        <v>1</v>
      </c>
      <c r="H10" s="24"/>
      <c r="I10" s="24" t="s">
        <v>2</v>
      </c>
      <c r="J10" s="30"/>
    </row>
    <row r="11" spans="2:10" ht="30" customHeight="1" x14ac:dyDescent="0.15">
      <c r="B11" s="27"/>
      <c r="C11" s="27"/>
      <c r="D11" s="29"/>
      <c r="E11" s="24" t="s">
        <v>1</v>
      </c>
      <c r="F11" s="24"/>
      <c r="G11" s="24" t="s">
        <v>1</v>
      </c>
      <c r="H11" s="24"/>
      <c r="I11" s="24" t="s">
        <v>2</v>
      </c>
      <c r="J11" s="30"/>
    </row>
    <row r="12" spans="2:10" ht="30" customHeight="1" x14ac:dyDescent="0.15">
      <c r="B12" s="27"/>
      <c r="C12" s="27"/>
      <c r="D12" s="29"/>
      <c r="E12" s="24" t="s">
        <v>1</v>
      </c>
      <c r="F12" s="24"/>
      <c r="G12" s="24" t="s">
        <v>1</v>
      </c>
      <c r="H12" s="24"/>
      <c r="I12" s="24" t="s">
        <v>2</v>
      </c>
      <c r="J12" s="30"/>
    </row>
    <row r="13" spans="2:10" ht="30" customHeight="1" x14ac:dyDescent="0.15">
      <c r="B13" s="27"/>
      <c r="C13" s="27"/>
      <c r="D13" s="29"/>
      <c r="E13" s="24" t="s">
        <v>1</v>
      </c>
      <c r="F13" s="24"/>
      <c r="G13" s="24" t="s">
        <v>1</v>
      </c>
      <c r="H13" s="24"/>
      <c r="I13" s="24" t="s">
        <v>2</v>
      </c>
      <c r="J13" s="30"/>
    </row>
    <row r="14" spans="2:10" ht="30" customHeight="1" x14ac:dyDescent="0.15">
      <c r="B14" s="27"/>
      <c r="C14" s="27"/>
      <c r="D14" s="29"/>
      <c r="E14" s="24" t="s">
        <v>1</v>
      </c>
      <c r="F14" s="24"/>
      <c r="G14" s="24" t="s">
        <v>1</v>
      </c>
      <c r="H14" s="24"/>
      <c r="I14" s="24" t="s">
        <v>2</v>
      </c>
      <c r="J14" s="30"/>
    </row>
    <row r="15" spans="2:10" ht="30" customHeight="1" x14ac:dyDescent="0.15">
      <c r="B15" s="27"/>
      <c r="C15" s="27"/>
      <c r="D15" s="29"/>
      <c r="E15" s="24" t="s">
        <v>1</v>
      </c>
      <c r="F15" s="24"/>
      <c r="G15" s="24" t="s">
        <v>1</v>
      </c>
      <c r="H15" s="24"/>
      <c r="I15" s="24" t="s">
        <v>2</v>
      </c>
      <c r="J15" s="30"/>
    </row>
    <row r="16" spans="2:10" ht="30" customHeight="1" x14ac:dyDescent="0.15">
      <c r="B16" s="27"/>
      <c r="C16" s="27"/>
      <c r="D16" s="29"/>
      <c r="E16" s="24" t="s">
        <v>1</v>
      </c>
      <c r="F16" s="24"/>
      <c r="G16" s="24" t="s">
        <v>1</v>
      </c>
      <c r="H16" s="24"/>
      <c r="I16" s="24" t="s">
        <v>2</v>
      </c>
      <c r="J16" s="30"/>
    </row>
    <row r="17" spans="2:10" ht="30" customHeight="1" x14ac:dyDescent="0.15">
      <c r="B17" s="27"/>
      <c r="C17" s="27"/>
      <c r="D17" s="29"/>
      <c r="E17" s="24" t="s">
        <v>1</v>
      </c>
      <c r="F17" s="24"/>
      <c r="G17" s="24" t="s">
        <v>1</v>
      </c>
      <c r="H17" s="24"/>
      <c r="I17" s="24" t="s">
        <v>2</v>
      </c>
      <c r="J17" s="30"/>
    </row>
    <row r="18" spans="2:10" ht="30" customHeight="1" thickBot="1" x14ac:dyDescent="0.2">
      <c r="B18" s="31"/>
      <c r="C18" s="31"/>
      <c r="D18" s="33"/>
      <c r="E18" s="34" t="s">
        <v>1</v>
      </c>
      <c r="F18" s="34"/>
      <c r="G18" s="34" t="s">
        <v>1</v>
      </c>
      <c r="H18" s="34"/>
      <c r="I18" s="34" t="s">
        <v>2</v>
      </c>
      <c r="J18" s="35"/>
    </row>
    <row r="19" spans="2:10" ht="16.5" thickBot="1" x14ac:dyDescent="0.2"/>
    <row r="20" spans="2:10" ht="16.5" thickBot="1" x14ac:dyDescent="0.2">
      <c r="H20" s="13" t="s">
        <v>92</v>
      </c>
      <c r="J20" s="36">
        <f>SUM(J6:J9)</f>
        <v>32.418900000000001</v>
      </c>
    </row>
  </sheetData>
  <mergeCells count="4">
    <mergeCell ref="B4:B5"/>
    <mergeCell ref="B3:C3"/>
    <mergeCell ref="C4:C5"/>
    <mergeCell ref="D3:J3"/>
  </mergeCells>
  <phoneticPr fontId="2"/>
  <pageMargins left="0.25" right="0.25" top="0.75" bottom="0.75" header="0.3" footer="0.3"/>
  <pageSetup paperSize="9" scale="9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0" zoomScaleNormal="110" workbookViewId="0">
      <selection activeCell="H15" sqref="H15"/>
    </sheetView>
  </sheetViews>
  <sheetFormatPr defaultRowHeight="18.75" x14ac:dyDescent="0.45"/>
  <cols>
    <col min="1" max="1" width="5.5" style="75" bestFit="1" customWidth="1"/>
    <col min="2" max="2" width="29.875" style="75" bestFit="1" customWidth="1"/>
    <col min="3" max="3" width="15.75" style="75" bestFit="1" customWidth="1"/>
    <col min="4" max="5" width="14.875" style="75" bestFit="1" customWidth="1"/>
    <col min="6" max="16384" width="9" style="75"/>
  </cols>
  <sheetData>
    <row r="1" spans="1:5" ht="20.25" x14ac:dyDescent="0.45">
      <c r="A1" s="87" t="s">
        <v>169</v>
      </c>
      <c r="B1" s="87" t="s">
        <v>170</v>
      </c>
      <c r="C1" s="87" t="s">
        <v>192</v>
      </c>
      <c r="D1" s="87" t="s">
        <v>208</v>
      </c>
      <c r="E1" s="87" t="s">
        <v>209</v>
      </c>
    </row>
    <row r="2" spans="1:5" x14ac:dyDescent="0.45">
      <c r="A2" s="74">
        <f ca="1">OFFSET(断面構成詳細!$B$5,13*(ROW()-ROW($A$2)),0)</f>
        <v>1</v>
      </c>
      <c r="B2" s="74" t="str">
        <f ca="1">IF(OFFSET(断面構成詳細!$B$5,13*(ROW()-ROW($A$2))+1,0)&lt;&gt;"",OFFSET(断面構成詳細!$B$5,13*(ROW()-ROW($A$2))+1,0),"")</f>
        <v>土壁（無断熱）＋板張り</v>
      </c>
      <c r="C2" s="74">
        <f ca="1">IF(OFFSET(断面構成詳細!$B$5,13*(ROW()-ROW($A$2))+2,0)&lt;&gt;"",ROUND(OFFSET(断面構成詳細!$B$5,13*(ROW()-ROW($A$2))+2,0),3),"")</f>
        <v>2.726</v>
      </c>
      <c r="D2" s="74">
        <f ca="1">IF(OFFSET(断面構成詳細!$B$5,13*(ROW()-ROW($A$2))+11,4)&lt;&gt;"",ROUND(OFFSET(断面構成詳細!$B$5,13*(ROW()-ROW($A$2))+11,4),3),"")</f>
        <v>3.0419999999999998</v>
      </c>
      <c r="E2" s="74">
        <f ca="1">IF(OFFSET(断面構成詳細!$B$5,13*(ROW()-ROW($A$2))+11,9)&lt;&gt;"",ROUND(OFFSET(断面構成詳細!$B$5,13*(ROW()-ROW($A$2))+11,9),3),"")</f>
        <v>1.1830000000000001</v>
      </c>
    </row>
    <row r="3" spans="1:5" x14ac:dyDescent="0.45">
      <c r="A3" s="74">
        <f ca="1">OFFSET(断面構成詳細!$B$5,13*(ROW()-ROW($A$2)),0)</f>
        <v>2</v>
      </c>
      <c r="B3" s="74" t="str">
        <f ca="1">IF(OFFSET(断面構成詳細!$B$5,13*(ROW()-ROW($A$2))+1,0)&lt;&gt;"",OFFSET(断面構成詳細!$B$5,13*(ROW()-ROW($A$2))+1,0),"")</f>
        <v>土壁（無断熱）</v>
      </c>
      <c r="C3" s="74">
        <f ca="1">IF(OFFSET(断面構成詳細!$B$5,13*(ROW()-ROW($A$2))+2,0)&lt;&gt;"",ROUND(OFFSET(断面構成詳細!$B$5,13*(ROW()-ROW($A$2))+2,0),3),"")</f>
        <v>3.4279999999999999</v>
      </c>
      <c r="D3" s="74">
        <f ca="1">IF(OFFSET(断面構成詳細!$B$5,13*(ROW()-ROW($A$2))+11,4)&lt;&gt;"",ROUND(OFFSET(断面構成詳細!$B$5,13*(ROW()-ROW($A$2))+11,4),3),"")</f>
        <v>3.8660000000000001</v>
      </c>
      <c r="E3" s="74">
        <f ca="1">IF(OFFSET(断面構成詳細!$B$5,13*(ROW()-ROW($A$2))+11,9)&lt;&gt;"",ROUND(OFFSET(断面構成詳細!$B$5,13*(ROW()-ROW($A$2))+11,9),3),"")</f>
        <v>1.29</v>
      </c>
    </row>
    <row r="4" spans="1:5" x14ac:dyDescent="0.45">
      <c r="A4" s="74">
        <f ca="1">OFFSET(断面構成詳細!$B$5,13*(ROW()-ROW($A$2)),0)</f>
        <v>3</v>
      </c>
      <c r="B4" s="74" t="str">
        <f ca="1">IF(OFFSET(断面構成詳細!$B$5,13*(ROW()-ROW($A$2))+1,0)&lt;&gt;"",OFFSET(断面構成詳細!$B$5,13*(ROW()-ROW($A$2))+1,0),"")</f>
        <v>土壁（無断熱）（戸境壁）</v>
      </c>
      <c r="C4" s="74">
        <f ca="1">IF(OFFSET(断面構成詳細!$B$5,13*(ROW()-ROW($A$2))+2,0)&lt;&gt;"",ROUND(OFFSET(断面構成詳細!$B$5,13*(ROW()-ROW($A$2))+2,0),3),"")</f>
        <v>2.726</v>
      </c>
      <c r="D4" s="74">
        <f ca="1">IF(OFFSET(断面構成詳細!$B$5,13*(ROW()-ROW($A$2))+11,4)&lt;&gt;"",ROUND(OFFSET(断面構成詳細!$B$5,13*(ROW()-ROW($A$2))+11,4),3),"")</f>
        <v>3.0419999999999998</v>
      </c>
      <c r="E4" s="74">
        <f ca="1">IF(OFFSET(断面構成詳細!$B$5,13*(ROW()-ROW($A$2))+11,9)&lt;&gt;"",ROUND(OFFSET(断面構成詳細!$B$5,13*(ROW()-ROW($A$2))+11,9),3),"")</f>
        <v>1.1830000000000001</v>
      </c>
    </row>
    <row r="5" spans="1:5" x14ac:dyDescent="0.45">
      <c r="A5" s="74">
        <f ca="1">OFFSET(断面構成詳細!$B$5,13*(ROW()-ROW($A$2)),0)</f>
        <v>4</v>
      </c>
      <c r="B5" s="74" t="str">
        <f ca="1">IF(OFFSET(断面構成詳細!$B$5,13*(ROW()-ROW($A$2))+1,0)&lt;&gt;"",OFFSET(断面構成詳細!$B$5,13*(ROW()-ROW($A$2))+1,0),"")</f>
        <v>土壁（無断熱）（床下）</v>
      </c>
      <c r="C5" s="74">
        <f ca="1">IF(OFFSET(断面構成詳細!$B$5,13*(ROW()-ROW($A$2))+2,0)&lt;&gt;"",ROUND(OFFSET(断面構成詳細!$B$5,13*(ROW()-ROW($A$2))+2,0),3),"")</f>
        <v>2.726</v>
      </c>
      <c r="D5" s="74">
        <f ca="1">IF(OFFSET(断面構成詳細!$B$5,13*(ROW()-ROW($A$2))+11,4)&lt;&gt;"",ROUND(OFFSET(断面構成詳細!$B$5,13*(ROW()-ROW($A$2))+11,4),3),"")</f>
        <v>3.0419999999999998</v>
      </c>
      <c r="E5" s="74">
        <f ca="1">IF(OFFSET(断面構成詳細!$B$5,13*(ROW()-ROW($A$2))+11,9)&lt;&gt;"",ROUND(OFFSET(断面構成詳細!$B$5,13*(ROW()-ROW($A$2))+11,9),3),"")</f>
        <v>1.1830000000000001</v>
      </c>
    </row>
    <row r="6" spans="1:5" x14ac:dyDescent="0.45">
      <c r="A6" s="74">
        <f ca="1">OFFSET(断面構成詳細!$B$5,13*(ROW()-ROW($A$2)),0)</f>
        <v>5</v>
      </c>
      <c r="B6" s="74" t="str">
        <f ca="1">IF(OFFSET(断面構成詳細!$B$5,13*(ROW()-ROW($A$2))+1,0)&lt;&gt;"",OFFSET(断面構成詳細!$B$5,13*(ROW()-ROW($A$2))+1,0),"")</f>
        <v>板張り（床下）</v>
      </c>
      <c r="C6" s="74">
        <f ca="1">IF(OFFSET(断面構成詳細!$B$5,13*(ROW()-ROW($A$2))+2,0)&lt;&gt;"",ROUND(OFFSET(断面構成詳細!$B$5,13*(ROW()-ROW($A$2))+2,0),3),"")</f>
        <v>3.39</v>
      </c>
      <c r="D6" s="74">
        <f ca="1">IF(OFFSET(断面構成詳細!$B$5,13*(ROW()-ROW($A$2))+11,4)&lt;&gt;"",ROUND(OFFSET(断面構成詳細!$B$5,13*(ROW()-ROW($A$2))+11,4),3),"")</f>
        <v>3.39</v>
      </c>
      <c r="E6" s="74">
        <f ca="1">IF(OFFSET(断面構成詳細!$B$5,13*(ROW()-ROW($A$2))+11,9)&lt;&gt;"",ROUND(OFFSET(断面構成詳細!$B$5,13*(ROW()-ROW($A$2))+11,9),3),"")</f>
        <v>3.39</v>
      </c>
    </row>
    <row r="7" spans="1:5" x14ac:dyDescent="0.45">
      <c r="A7" s="74">
        <f ca="1">OFFSET(断面構成詳細!$B$5,13*(ROW()-ROW($A$2)),0)</f>
        <v>6</v>
      </c>
      <c r="B7" s="74" t="str">
        <f ca="1">IF(OFFSET(断面構成詳細!$B$5,13*(ROW()-ROW($A$2))+1,0)&lt;&gt;"",OFFSET(断面構成詳細!$B$5,13*(ROW()-ROW($A$2))+1,0),"")</f>
        <v>土壁（無断熱）＋下見板張り</v>
      </c>
      <c r="C7" s="74">
        <f ca="1">IF(OFFSET(断面構成詳細!$B$5,13*(ROW()-ROW($A$2))+2,0)&lt;&gt;"",ROUND(OFFSET(断面構成詳細!$B$5,13*(ROW()-ROW($A$2))+2,0),3),"")</f>
        <v>3.3450000000000002</v>
      </c>
      <c r="D7" s="74">
        <f ca="1">IF(OFFSET(断面構成詳細!$B$5,13*(ROW()-ROW($A$2))+11,4)&lt;&gt;"",ROUND(OFFSET(断面構成詳細!$B$5,13*(ROW()-ROW($A$2))+11,4),3),"")</f>
        <v>3.645</v>
      </c>
      <c r="E7" s="74">
        <f ca="1">IF(OFFSET(断面構成詳細!$B$5,13*(ROW()-ROW($A$2))+11,9)&lt;&gt;"",ROUND(OFFSET(断面構成詳細!$B$5,13*(ROW()-ROW($A$2))+11,9),3),"")</f>
        <v>1.8779999999999999</v>
      </c>
    </row>
    <row r="8" spans="1:5" x14ac:dyDescent="0.45">
      <c r="A8" s="74">
        <f ca="1">OFFSET(断面構成詳細!$B$5,13*(ROW()-ROW($A$2)),0)</f>
        <v>7</v>
      </c>
      <c r="B8" s="74" t="str">
        <f ca="1">IF(OFFSET(断面構成詳細!$B$5,13*(ROW()-ROW($A$2))+1,0)&lt;&gt;"",OFFSET(断面構成詳細!$B$5,13*(ROW()-ROW($A$2))+1,0),"")</f>
        <v>戸袋</v>
      </c>
      <c r="C8" s="74">
        <f ca="1">IF(OFFSET(断面構成詳細!$B$5,13*(ROW()-ROW($A$2))+2,0)&lt;&gt;"",ROUND(OFFSET(断面構成詳細!$B$5,13*(ROW()-ROW($A$2))+2,0),3),"")</f>
        <v>2.899</v>
      </c>
      <c r="D8" s="74">
        <f ca="1">IF(OFFSET(断面構成詳細!$B$5,13*(ROW()-ROW($A$2))+11,4)&lt;&gt;"",ROUND(OFFSET(断面構成詳細!$B$5,13*(ROW()-ROW($A$2))+11,4),3),"")</f>
        <v>2.899</v>
      </c>
      <c r="E8" s="74" t="str">
        <f ca="1">IF(OFFSET(断面構成詳細!$B$5,13*(ROW()-ROW($A$2))+11,9)&lt;&gt;"",ROUND(OFFSET(断面構成詳細!$B$5,13*(ROW()-ROW($A$2))+11,9),3),"")</f>
        <v/>
      </c>
    </row>
    <row r="9" spans="1:5" x14ac:dyDescent="0.45">
      <c r="A9" s="74">
        <f ca="1">OFFSET(断面構成詳細!$B$5,13*(ROW()-ROW($A$2)),0)</f>
        <v>8</v>
      </c>
      <c r="B9" s="74" t="str">
        <f ca="1">IF(OFFSET(断面構成詳細!$B$5,13*(ROW()-ROW($A$2))+1,0)&lt;&gt;"",OFFSET(断面構成詳細!$B$5,13*(ROW()-ROW($A$2))+1,0),"")</f>
        <v>床板張り（無断熱）（縁側下）</v>
      </c>
      <c r="C9" s="74">
        <f ca="1">IF(OFFSET(断面構成詳細!$B$5,13*(ROW()-ROW($A$2))+2,0)&lt;&gt;"",ROUND(OFFSET(断面構成詳細!$B$5,13*(ROW()-ROW($A$2))+2,0),3),"")</f>
        <v>3.1749999999999998</v>
      </c>
      <c r="D9" s="74">
        <f ca="1">IF(OFFSET(断面構成詳細!$B$5,13*(ROW()-ROW($A$2))+11,4)&lt;&gt;"",ROUND(OFFSET(断面構成詳細!$B$5,13*(ROW()-ROW($A$2))+11,4),3),"")</f>
        <v>3.1749999999999998</v>
      </c>
      <c r="E9" s="74" t="str">
        <f ca="1">IF(OFFSET(断面構成詳細!$B$5,13*(ROW()-ROW($A$2))+11,9)&lt;&gt;"",ROUND(OFFSET(断面構成詳細!$B$5,13*(ROW()-ROW($A$2))+11,9),3),"")</f>
        <v/>
      </c>
    </row>
    <row r="10" spans="1:5" x14ac:dyDescent="0.45">
      <c r="A10" s="74">
        <f ca="1">OFFSET(断面構成詳細!$B$5,13*(ROW()-ROW($A$2)),0)</f>
        <v>9</v>
      </c>
      <c r="B10" s="74" t="str">
        <f ca="1">IF(OFFSET(断面構成詳細!$B$5,13*(ROW()-ROW($A$2))+1,0)&lt;&gt;"",OFFSET(断面構成詳細!$B$5,13*(ROW()-ROW($A$2))+1,0),"")</f>
        <v>床板張り（無断熱）（床下）</v>
      </c>
      <c r="C10" s="74">
        <f ca="1">IF(OFFSET(断面構成詳細!$B$5,13*(ROW()-ROW($A$2))+2,0)&lt;&gt;"",ROUND(OFFSET(断面構成詳細!$B$5,13*(ROW()-ROW($A$2))+2,0),3),"")</f>
        <v>2.3530000000000002</v>
      </c>
      <c r="D10" s="74">
        <f ca="1">IF(OFFSET(断面構成詳細!$B$5,13*(ROW()-ROW($A$2))+11,4)&lt;&gt;"",ROUND(OFFSET(断面構成詳細!$B$5,13*(ROW()-ROW($A$2))+11,4),3),"")</f>
        <v>2.3530000000000002</v>
      </c>
      <c r="E10" s="74" t="str">
        <f ca="1">IF(OFFSET(断面構成詳細!$B$5,13*(ROW()-ROW($A$2))+11,9)&lt;&gt;"",ROUND(OFFSET(断面構成詳細!$B$5,13*(ROW()-ROW($A$2))+11,9),3),"")</f>
        <v/>
      </c>
    </row>
    <row r="11" spans="1:5" x14ac:dyDescent="0.45">
      <c r="A11" s="74">
        <f ca="1">OFFSET(断面構成詳細!$B$5,13*(ROW()-ROW($A$2)),0)</f>
        <v>10</v>
      </c>
      <c r="B11" s="74" t="str">
        <f ca="1">IF(OFFSET(断面構成詳細!$B$5,13*(ROW()-ROW($A$2))+1,0)&lt;&gt;"",OFFSET(断面構成詳細!$B$5,13*(ROW()-ROW($A$2))+1,0),"")</f>
        <v>床畳（無断熱）</v>
      </c>
      <c r="C11" s="74">
        <f ca="1">IF(OFFSET(断面構成詳細!$B$5,13*(ROW()-ROW($A$2))+2,0)&lt;&gt;"",ROUND(OFFSET(断面構成詳細!$B$5,13*(ROW()-ROW($A$2))+2,0),3),"")</f>
        <v>1.274</v>
      </c>
      <c r="D11" s="74">
        <f ca="1">IF(OFFSET(断面構成詳細!$B$5,13*(ROW()-ROW($A$2))+11,4)&lt;&gt;"",ROUND(OFFSET(断面構成詳細!$B$5,13*(ROW()-ROW($A$2))+11,4),3),"")</f>
        <v>1.274</v>
      </c>
      <c r="E11" s="74" t="str">
        <f ca="1">IF(OFFSET(断面構成詳細!$B$5,13*(ROW()-ROW($A$2))+11,9)&lt;&gt;"",ROUND(OFFSET(断面構成詳細!$B$5,13*(ROW()-ROW($A$2))+11,9),3),"")</f>
        <v/>
      </c>
    </row>
    <row r="12" spans="1:5" x14ac:dyDescent="0.45">
      <c r="A12" s="74">
        <f ca="1">OFFSET(断面構成詳細!$B$5,13*(ROW()-ROW($A$2)),0)</f>
        <v>11</v>
      </c>
      <c r="B12" s="74" t="str">
        <f ca="1">IF(OFFSET(断面構成詳細!$B$5,13*(ROW()-ROW($A$2))+1,0)&lt;&gt;"",OFFSET(断面構成詳細!$B$5,13*(ROW()-ROW($A$2))+1,0),"")</f>
        <v>天井板張り（無断熱）</v>
      </c>
      <c r="C12" s="74">
        <f ca="1">IF(OFFSET(断面構成詳細!$B$5,13*(ROW()-ROW($A$2))+2,0)&lt;&gt;"",ROUND(OFFSET(断面構成詳細!$B$5,13*(ROW()-ROW($A$2))+2,0),3),"")</f>
        <v>3.9220000000000002</v>
      </c>
      <c r="D12" s="74">
        <f ca="1">IF(OFFSET(断面構成詳細!$B$5,13*(ROW()-ROW($A$2))+11,4)&lt;&gt;"",ROUND(OFFSET(断面構成詳細!$B$5,13*(ROW()-ROW($A$2))+11,4),3),"")</f>
        <v>3.9220000000000002</v>
      </c>
      <c r="E12" s="74" t="str">
        <f ca="1">IF(OFFSET(断面構成詳細!$B$5,13*(ROW()-ROW($A$2))+11,9)&lt;&gt;"",ROUND(OFFSET(断面構成詳細!$B$5,13*(ROW()-ROW($A$2))+11,9),3),"")</f>
        <v/>
      </c>
    </row>
    <row r="13" spans="1:5" x14ac:dyDescent="0.45">
      <c r="A13" s="74">
        <f ca="1">OFFSET(断面構成詳細!$B$5,13*(ROW()-ROW($A$2)),0)</f>
        <v>12</v>
      </c>
      <c r="B13" s="74" t="str">
        <f ca="1">IF(OFFSET(断面構成詳細!$B$5,13*(ROW()-ROW($A$2))+1,0)&lt;&gt;"",OFFSET(断面構成詳細!$B$5,13*(ROW()-ROW($A$2))+1,0),"")</f>
        <v/>
      </c>
      <c r="C13" s="74" t="str">
        <f ca="1">IF(OFFSET(断面構成詳細!$B$5,13*(ROW()-ROW($A$2))+2,0)&lt;&gt;"",ROUND(OFFSET(断面構成詳細!$B$5,13*(ROW()-ROW($A$2))+2,0),3),"")</f>
        <v/>
      </c>
      <c r="D13" s="74" t="str">
        <f ca="1">IF(OFFSET(断面構成詳細!$B$5,13*(ROW()-ROW($A$2))+11,4)&lt;&gt;"",ROUND(OFFSET(断面構成詳細!$B$5,13*(ROW()-ROW($A$2))+11,4),3),"")</f>
        <v/>
      </c>
      <c r="E13" s="74" t="str">
        <f ca="1">IF(OFFSET(断面構成詳細!$B$5,13*(ROW()-ROW($A$2))+11,9)&lt;&gt;"",ROUND(OFFSET(断面構成詳細!$B$5,13*(ROW()-ROW($A$2))+11,9),3),"")</f>
        <v/>
      </c>
    </row>
    <row r="14" spans="1:5" x14ac:dyDescent="0.45">
      <c r="A14" s="74">
        <f ca="1">OFFSET(断面構成詳細!$B$5,13*(ROW()-ROW($A$2)),0)</f>
        <v>13</v>
      </c>
      <c r="B14" s="74" t="str">
        <f ca="1">IF(OFFSET(断面構成詳細!$B$5,13*(ROW()-ROW($A$2))+1,0)&lt;&gt;"",OFFSET(断面構成詳細!$B$5,13*(ROW()-ROW($A$2))+1,0),"")</f>
        <v/>
      </c>
      <c r="C14" s="74" t="str">
        <f ca="1">IF(OFFSET(断面構成詳細!$B$5,13*(ROW()-ROW($A$2))+2,0)&lt;&gt;"",ROUND(OFFSET(断面構成詳細!$B$5,13*(ROW()-ROW($A$2))+2,0),3),"")</f>
        <v/>
      </c>
      <c r="D14" s="74" t="str">
        <f ca="1">IF(OFFSET(断面構成詳細!$B$5,13*(ROW()-ROW($A$2))+11,4)&lt;&gt;"",ROUND(OFFSET(断面構成詳細!$B$5,13*(ROW()-ROW($A$2))+11,4),3),"")</f>
        <v/>
      </c>
      <c r="E14" s="74" t="str">
        <f ca="1">IF(OFFSET(断面構成詳細!$B$5,13*(ROW()-ROW($A$2))+11,9)&lt;&gt;"",ROUND(OFFSET(断面構成詳細!$B$5,13*(ROW()-ROW($A$2))+11,9),3),"")</f>
        <v/>
      </c>
    </row>
    <row r="15" spans="1:5" x14ac:dyDescent="0.45">
      <c r="A15" s="74">
        <f ca="1">OFFSET(断面構成詳細!$B$5,13*(ROW()-ROW($A$2)),0)</f>
        <v>14</v>
      </c>
      <c r="B15" s="74" t="str">
        <f ca="1">IF(OFFSET(断面構成詳細!$B$5,13*(ROW()-ROW($A$2))+1,0)&lt;&gt;"",OFFSET(断面構成詳細!$B$5,13*(ROW()-ROW($A$2))+1,0),"")</f>
        <v/>
      </c>
      <c r="C15" s="74" t="str">
        <f ca="1">IF(OFFSET(断面構成詳細!$B$5,13*(ROW()-ROW($A$2))+2,0)&lt;&gt;"",ROUND(OFFSET(断面構成詳細!$B$5,13*(ROW()-ROW($A$2))+2,0),3),"")</f>
        <v/>
      </c>
      <c r="D15" s="74" t="str">
        <f ca="1">IF(OFFSET(断面構成詳細!$B$5,13*(ROW()-ROW($A$2))+11,4)&lt;&gt;"",ROUND(OFFSET(断面構成詳細!$B$5,13*(ROW()-ROW($A$2))+11,4),3),"")</f>
        <v/>
      </c>
      <c r="E15" s="74" t="str">
        <f ca="1">IF(OFFSET(断面構成詳細!$B$5,13*(ROW()-ROW($A$2))+11,9)&lt;&gt;"",ROUND(OFFSET(断面構成詳細!$B$5,13*(ROW()-ROW($A$2))+11,9),3),"")</f>
        <v/>
      </c>
    </row>
    <row r="16" spans="1:5" x14ac:dyDescent="0.45">
      <c r="A16" s="74">
        <f ca="1">OFFSET(断面構成詳細!$B$5,13*(ROW()-ROW($A$2)),0)</f>
        <v>15</v>
      </c>
      <c r="B16" s="74" t="str">
        <f ca="1">IF(OFFSET(断面構成詳細!$B$5,13*(ROW()-ROW($A$2))+1,0)&lt;&gt;"",OFFSET(断面構成詳細!$B$5,13*(ROW()-ROW($A$2))+1,0),"")</f>
        <v/>
      </c>
      <c r="C16" s="74" t="str">
        <f ca="1">IF(OFFSET(断面構成詳細!$B$5,13*(ROW()-ROW($A$2))+2,0)&lt;&gt;"",ROUND(OFFSET(断面構成詳細!$B$5,13*(ROW()-ROW($A$2))+2,0),3),"")</f>
        <v/>
      </c>
      <c r="D16" s="74" t="str">
        <f ca="1">IF(OFFSET(断面構成詳細!$B$5,13*(ROW()-ROW($A$2))+11,4)&lt;&gt;"",ROUND(OFFSET(断面構成詳細!$B$5,13*(ROW()-ROW($A$2))+11,4),3),"")</f>
        <v/>
      </c>
      <c r="E16" s="74" t="str">
        <f ca="1">IF(OFFSET(断面構成詳細!$B$5,13*(ROW()-ROW($A$2))+11,9)&lt;&gt;"",ROUND(OFFSET(断面構成詳細!$B$5,13*(ROW()-ROW($A$2))+11,9),3),"")</f>
        <v/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tabSelected="1" zoomScale="90" zoomScaleNormal="90" workbookViewId="0">
      <pane ySplit="3" topLeftCell="A4" activePane="bottomLeft" state="frozen"/>
      <selection activeCell="H15" sqref="H15"/>
      <selection pane="bottomLeft" activeCell="H15" sqref="H15"/>
    </sheetView>
  </sheetViews>
  <sheetFormatPr defaultColWidth="20.5" defaultRowHeight="18.75" x14ac:dyDescent="0.45"/>
  <cols>
    <col min="1" max="1" width="15.375" style="75" bestFit="1" customWidth="1"/>
    <col min="2" max="2" width="27.875" style="75" bestFit="1" customWidth="1"/>
    <col min="3" max="3" width="1.25" style="75" customWidth="1"/>
    <col min="4" max="4" width="19.125" style="75" bestFit="1" customWidth="1"/>
    <col min="5" max="5" width="1.25" style="75" customWidth="1"/>
    <col min="6" max="6" width="11.25" style="75" bestFit="1" customWidth="1"/>
    <col min="7" max="7" width="9.25" style="75" bestFit="1" customWidth="1"/>
    <col min="8" max="8" width="14.375" style="75" bestFit="1" customWidth="1"/>
    <col min="9" max="9" width="17.75" style="75" bestFit="1" customWidth="1"/>
    <col min="10" max="10" width="1.25" style="75" customWidth="1"/>
    <col min="11" max="11" width="11.25" style="75" bestFit="1" customWidth="1"/>
    <col min="12" max="12" width="9.25" style="75" bestFit="1" customWidth="1"/>
    <col min="13" max="13" width="14.375" style="75" bestFit="1" customWidth="1"/>
    <col min="14" max="14" width="17.75" style="75" bestFit="1" customWidth="1"/>
    <col min="15" max="16379" width="20.5" style="75"/>
    <col min="16380" max="16380" width="20.5" style="75" customWidth="1"/>
    <col min="16381" max="16384" width="20.5" style="75"/>
  </cols>
  <sheetData>
    <row r="1" spans="1:14" x14ac:dyDescent="0.45">
      <c r="F1" s="83" t="s">
        <v>186</v>
      </c>
      <c r="G1" s="84"/>
      <c r="H1" s="84"/>
      <c r="I1" s="84"/>
      <c r="J1" s="76"/>
      <c r="K1" s="83" t="s">
        <v>187</v>
      </c>
      <c r="L1" s="84"/>
      <c r="M1" s="84"/>
      <c r="N1" s="84"/>
    </row>
    <row r="2" spans="1:14" ht="39" x14ac:dyDescent="0.45">
      <c r="F2" s="85" t="s">
        <v>172</v>
      </c>
      <c r="G2" s="86" t="s">
        <v>180</v>
      </c>
      <c r="H2" s="86" t="s">
        <v>181</v>
      </c>
      <c r="I2" s="86" t="s">
        <v>184</v>
      </c>
      <c r="J2" s="77"/>
      <c r="K2" s="85" t="s">
        <v>172</v>
      </c>
      <c r="L2" s="86" t="s">
        <v>180</v>
      </c>
      <c r="M2" s="86" t="s">
        <v>181</v>
      </c>
      <c r="N2" s="86" t="s">
        <v>184</v>
      </c>
    </row>
    <row r="3" spans="1:14" x14ac:dyDescent="0.45">
      <c r="F3" s="85" t="s">
        <v>182</v>
      </c>
      <c r="G3" s="85" t="s">
        <v>182</v>
      </c>
      <c r="H3" s="85" t="s">
        <v>183</v>
      </c>
      <c r="I3" s="85" t="s">
        <v>185</v>
      </c>
      <c r="J3" s="78"/>
      <c r="K3" s="85" t="s">
        <v>182</v>
      </c>
      <c r="L3" s="85" t="s">
        <v>182</v>
      </c>
      <c r="M3" s="85" t="s">
        <v>183</v>
      </c>
      <c r="N3" s="85" t="s">
        <v>185</v>
      </c>
    </row>
    <row r="4" spans="1:14" ht="19.5" customHeight="1" x14ac:dyDescent="0.45"/>
    <row r="5" spans="1:14" ht="19.5" customHeight="1" x14ac:dyDescent="0.45">
      <c r="A5" s="87" t="s">
        <v>169</v>
      </c>
      <c r="B5" s="74">
        <v>1</v>
      </c>
      <c r="D5" s="87" t="s">
        <v>178</v>
      </c>
      <c r="F5" s="79" t="s">
        <v>188</v>
      </c>
      <c r="G5" s="79"/>
      <c r="H5" s="79"/>
      <c r="I5" s="79">
        <v>0.11</v>
      </c>
      <c r="K5" s="79" t="s">
        <v>188</v>
      </c>
      <c r="L5" s="79"/>
      <c r="M5" s="79"/>
      <c r="N5" s="79">
        <v>0.11</v>
      </c>
    </row>
    <row r="6" spans="1:14" ht="19.5" customHeight="1" x14ac:dyDescent="0.45">
      <c r="A6" s="87" t="s">
        <v>170</v>
      </c>
      <c r="B6" s="79" t="s">
        <v>171</v>
      </c>
      <c r="D6" s="87" t="s">
        <v>173</v>
      </c>
      <c r="F6" s="79" t="s">
        <v>194</v>
      </c>
      <c r="G6" s="79">
        <v>7.4999999999999997E-2</v>
      </c>
      <c r="H6" s="79">
        <v>0.69</v>
      </c>
      <c r="I6" s="79">
        <f>G6/H6</f>
        <v>0.10869565217391305</v>
      </c>
      <c r="K6" s="79" t="s">
        <v>195</v>
      </c>
      <c r="L6" s="79">
        <v>7.4999999999999997E-2</v>
      </c>
      <c r="M6" s="79">
        <v>0.12</v>
      </c>
      <c r="N6" s="79">
        <f>L6/M6</f>
        <v>0.625</v>
      </c>
    </row>
    <row r="7" spans="1:14" ht="19.5" customHeight="1" x14ac:dyDescent="0.45">
      <c r="A7" s="87" t="s">
        <v>192</v>
      </c>
      <c r="B7" s="74">
        <f>IF(AND(F13="",K13=""),"",IF(F13&lt;&gt;"",F16*F13)+IF(K13&lt;&gt;"",K16*K13,0))</f>
        <v>2.7263157070849378</v>
      </c>
      <c r="D7" s="87" t="s">
        <v>174</v>
      </c>
      <c r="F7" s="79"/>
      <c r="G7" s="79"/>
      <c r="H7" s="79"/>
      <c r="I7" s="79"/>
      <c r="K7" s="79"/>
      <c r="L7" s="79"/>
      <c r="M7" s="79"/>
      <c r="N7" s="79"/>
    </row>
    <row r="8" spans="1:14" ht="19.5" customHeight="1" x14ac:dyDescent="0.45">
      <c r="D8" s="87" t="s">
        <v>175</v>
      </c>
      <c r="F8" s="79"/>
      <c r="G8" s="79"/>
      <c r="H8" s="79"/>
      <c r="I8" s="79"/>
      <c r="K8" s="79"/>
      <c r="L8" s="79"/>
      <c r="M8" s="79"/>
      <c r="N8" s="79"/>
    </row>
    <row r="9" spans="1:14" ht="19.5" customHeight="1" x14ac:dyDescent="0.45">
      <c r="D9" s="87" t="s">
        <v>176</v>
      </c>
      <c r="F9" s="79"/>
      <c r="G9" s="79"/>
      <c r="H9" s="79"/>
      <c r="I9" s="79"/>
      <c r="K9" s="79"/>
      <c r="L9" s="79"/>
      <c r="M9" s="79"/>
      <c r="N9" s="79"/>
    </row>
    <row r="10" spans="1:14" ht="19.5" customHeight="1" x14ac:dyDescent="0.45">
      <c r="D10" s="87" t="s">
        <v>177</v>
      </c>
      <c r="F10" s="79"/>
      <c r="G10" s="79"/>
      <c r="H10" s="79"/>
      <c r="I10" s="79"/>
      <c r="K10" s="79"/>
      <c r="L10" s="79"/>
      <c r="M10" s="79"/>
      <c r="N10" s="79"/>
    </row>
    <row r="11" spans="1:14" ht="19.5" customHeight="1" x14ac:dyDescent="0.45">
      <c r="D11" s="87" t="s">
        <v>179</v>
      </c>
      <c r="F11" s="79" t="s">
        <v>189</v>
      </c>
      <c r="G11" s="79"/>
      <c r="H11" s="79"/>
      <c r="I11" s="79">
        <v>0.11</v>
      </c>
      <c r="K11" s="79" t="s">
        <v>189</v>
      </c>
      <c r="L11" s="79"/>
      <c r="M11" s="79"/>
      <c r="N11" s="79">
        <v>0.11</v>
      </c>
    </row>
    <row r="12" spans="1:14" ht="19.5" customHeight="1" x14ac:dyDescent="0.45"/>
    <row r="13" spans="1:14" ht="19.5" customHeight="1" x14ac:dyDescent="0.45">
      <c r="D13" s="87" t="s">
        <v>193</v>
      </c>
      <c r="F13" s="80">
        <v>0.83</v>
      </c>
      <c r="G13" s="81"/>
      <c r="H13" s="81"/>
      <c r="I13" s="82"/>
      <c r="K13" s="80">
        <v>0.17</v>
      </c>
      <c r="L13" s="81"/>
      <c r="M13" s="81"/>
      <c r="N13" s="82"/>
    </row>
    <row r="14" spans="1:14" ht="19.5" customHeight="1" x14ac:dyDescent="0.45"/>
    <row r="15" spans="1:14" x14ac:dyDescent="0.45">
      <c r="D15" s="87" t="s">
        <v>190</v>
      </c>
      <c r="F15" s="71">
        <f>SUM(I5:I11)</f>
        <v>0.32869565217391306</v>
      </c>
      <c r="G15" s="72"/>
      <c r="H15" s="72"/>
      <c r="I15" s="73"/>
      <c r="K15" s="71">
        <f>SUM(N5:N11)</f>
        <v>0.84499999999999997</v>
      </c>
      <c r="L15" s="72"/>
      <c r="M15" s="72"/>
      <c r="N15" s="73"/>
    </row>
    <row r="16" spans="1:14" x14ac:dyDescent="0.45">
      <c r="D16" s="87" t="s">
        <v>191</v>
      </c>
      <c r="F16" s="71">
        <f>IF(F15&lt;&gt;0,1/F15,"")</f>
        <v>3.0423280423280423</v>
      </c>
      <c r="G16" s="72"/>
      <c r="H16" s="72"/>
      <c r="I16" s="73"/>
      <c r="K16" s="71">
        <f>IF(K15&lt;&gt;0,1/K15,"")</f>
        <v>1.1834319526627219</v>
      </c>
      <c r="L16" s="72"/>
      <c r="M16" s="72"/>
      <c r="N16" s="73"/>
    </row>
    <row r="18" spans="1:14" x14ac:dyDescent="0.45">
      <c r="A18" s="87" t="s">
        <v>169</v>
      </c>
      <c r="B18" s="74">
        <v>2</v>
      </c>
      <c r="D18" s="87" t="s">
        <v>178</v>
      </c>
      <c r="F18" s="79" t="s">
        <v>188</v>
      </c>
      <c r="G18" s="79"/>
      <c r="H18" s="79"/>
      <c r="I18" s="79">
        <v>0.11</v>
      </c>
      <c r="K18" s="79" t="s">
        <v>188</v>
      </c>
      <c r="L18" s="79"/>
      <c r="M18" s="79"/>
      <c r="N18" s="79">
        <v>0.11</v>
      </c>
    </row>
    <row r="19" spans="1:14" x14ac:dyDescent="0.45">
      <c r="A19" s="87" t="s">
        <v>170</v>
      </c>
      <c r="B19" s="79" t="s">
        <v>196</v>
      </c>
      <c r="D19" s="87" t="s">
        <v>173</v>
      </c>
      <c r="F19" s="79" t="s">
        <v>194</v>
      </c>
      <c r="G19" s="79">
        <v>7.4999999999999997E-2</v>
      </c>
      <c r="H19" s="79">
        <v>0.69</v>
      </c>
      <c r="I19" s="79">
        <f>G19/H19</f>
        <v>0.10869565217391305</v>
      </c>
      <c r="K19" s="79" t="s">
        <v>195</v>
      </c>
      <c r="L19" s="79">
        <v>7.4999999999999997E-2</v>
      </c>
      <c r="M19" s="79">
        <v>0.12</v>
      </c>
      <c r="N19" s="79">
        <f>L19/M19</f>
        <v>0.625</v>
      </c>
    </row>
    <row r="20" spans="1:14" ht="20.25" x14ac:dyDescent="0.45">
      <c r="A20" s="87" t="s">
        <v>192</v>
      </c>
      <c r="B20" s="74">
        <f>IF(AND(F26="",K26=""),"",IF(F26&lt;&gt;"",F29*F26)+IF(K26&lt;&gt;"",K29*K26,0))</f>
        <v>3.4277582000542148</v>
      </c>
      <c r="D20" s="87" t="s">
        <v>174</v>
      </c>
      <c r="F20" s="79"/>
      <c r="G20" s="79"/>
      <c r="H20" s="79"/>
      <c r="I20" s="79"/>
      <c r="K20" s="79"/>
      <c r="L20" s="79"/>
      <c r="M20" s="79"/>
      <c r="N20" s="79"/>
    </row>
    <row r="21" spans="1:14" x14ac:dyDescent="0.45">
      <c r="D21" s="87" t="s">
        <v>175</v>
      </c>
      <c r="F21" s="79"/>
      <c r="G21" s="79"/>
      <c r="H21" s="79"/>
      <c r="I21" s="79"/>
      <c r="K21" s="79"/>
      <c r="L21" s="79"/>
      <c r="M21" s="79"/>
      <c r="N21" s="79"/>
    </row>
    <row r="22" spans="1:14" x14ac:dyDescent="0.45">
      <c r="D22" s="87" t="s">
        <v>176</v>
      </c>
      <c r="F22" s="79"/>
      <c r="G22" s="79"/>
      <c r="H22" s="79"/>
      <c r="I22" s="79"/>
      <c r="K22" s="79"/>
      <c r="L22" s="79"/>
      <c r="M22" s="79"/>
      <c r="N22" s="79"/>
    </row>
    <row r="23" spans="1:14" x14ac:dyDescent="0.45">
      <c r="D23" s="87" t="s">
        <v>177</v>
      </c>
      <c r="F23" s="79"/>
      <c r="G23" s="79"/>
      <c r="H23" s="79"/>
      <c r="I23" s="79"/>
      <c r="K23" s="79"/>
      <c r="L23" s="79"/>
      <c r="M23" s="79"/>
      <c r="N23" s="79"/>
    </row>
    <row r="24" spans="1:14" x14ac:dyDescent="0.45">
      <c r="D24" s="87" t="s">
        <v>179</v>
      </c>
      <c r="F24" s="79" t="s">
        <v>189</v>
      </c>
      <c r="G24" s="79"/>
      <c r="H24" s="79"/>
      <c r="I24" s="79">
        <v>0.04</v>
      </c>
      <c r="K24" s="79" t="s">
        <v>189</v>
      </c>
      <c r="L24" s="79"/>
      <c r="M24" s="79"/>
      <c r="N24" s="79">
        <v>0.04</v>
      </c>
    </row>
    <row r="26" spans="1:14" x14ac:dyDescent="0.45">
      <c r="D26" s="87" t="s">
        <v>193</v>
      </c>
      <c r="F26" s="80">
        <v>0.83</v>
      </c>
      <c r="G26" s="81"/>
      <c r="H26" s="81"/>
      <c r="I26" s="82"/>
      <c r="K26" s="80">
        <v>0.17</v>
      </c>
      <c r="L26" s="81"/>
      <c r="M26" s="81"/>
      <c r="N26" s="82"/>
    </row>
    <row r="28" spans="1:14" x14ac:dyDescent="0.45">
      <c r="D28" s="87" t="s">
        <v>190</v>
      </c>
      <c r="F28" s="71">
        <f>SUM(I18:I24)</f>
        <v>0.25869565217391305</v>
      </c>
      <c r="G28" s="72"/>
      <c r="H28" s="72"/>
      <c r="I28" s="73"/>
      <c r="K28" s="71">
        <f>SUM(N18:N24)</f>
        <v>0.77500000000000002</v>
      </c>
      <c r="L28" s="72"/>
      <c r="M28" s="72"/>
      <c r="N28" s="73"/>
    </row>
    <row r="29" spans="1:14" x14ac:dyDescent="0.45">
      <c r="D29" s="87" t="s">
        <v>191</v>
      </c>
      <c r="F29" s="71">
        <f>IF(F28&lt;&gt;0,1/F28,"")</f>
        <v>3.865546218487395</v>
      </c>
      <c r="G29" s="72"/>
      <c r="H29" s="72"/>
      <c r="I29" s="73"/>
      <c r="K29" s="71">
        <f>IF(K28&lt;&gt;0,1/K28,"")</f>
        <v>1.2903225806451613</v>
      </c>
      <c r="L29" s="72"/>
      <c r="M29" s="72"/>
      <c r="N29" s="73"/>
    </row>
    <row r="31" spans="1:14" x14ac:dyDescent="0.45">
      <c r="A31" s="87" t="s">
        <v>169</v>
      </c>
      <c r="B31" s="74">
        <v>3</v>
      </c>
      <c r="D31" s="87" t="s">
        <v>178</v>
      </c>
      <c r="F31" s="79" t="s">
        <v>188</v>
      </c>
      <c r="G31" s="79"/>
      <c r="H31" s="79"/>
      <c r="I31" s="79">
        <v>0.11</v>
      </c>
      <c r="K31" s="79" t="s">
        <v>188</v>
      </c>
      <c r="L31" s="79"/>
      <c r="M31" s="79"/>
      <c r="N31" s="79">
        <v>0.11</v>
      </c>
    </row>
    <row r="32" spans="1:14" x14ac:dyDescent="0.45">
      <c r="A32" s="87" t="s">
        <v>170</v>
      </c>
      <c r="B32" s="79" t="s">
        <v>197</v>
      </c>
      <c r="D32" s="87" t="s">
        <v>173</v>
      </c>
      <c r="F32" s="79" t="s">
        <v>194</v>
      </c>
      <c r="G32" s="79">
        <v>7.4999999999999997E-2</v>
      </c>
      <c r="H32" s="79">
        <v>0.69</v>
      </c>
      <c r="I32" s="79">
        <f>G32/H32</f>
        <v>0.10869565217391305</v>
      </c>
      <c r="K32" s="79" t="s">
        <v>195</v>
      </c>
      <c r="L32" s="79">
        <v>7.4999999999999997E-2</v>
      </c>
      <c r="M32" s="79">
        <v>0.12</v>
      </c>
      <c r="N32" s="79">
        <f>L32/M32</f>
        <v>0.625</v>
      </c>
    </row>
    <row r="33" spans="1:14" ht="20.25" x14ac:dyDescent="0.45">
      <c r="A33" s="87" t="s">
        <v>192</v>
      </c>
      <c r="B33" s="74">
        <f>IF(AND(F39="",K39=""),"",IF(F39&lt;&gt;"",F42*F39)+IF(K39&lt;&gt;"",K42*K39,0))</f>
        <v>2.7263157070849378</v>
      </c>
      <c r="D33" s="87" t="s">
        <v>174</v>
      </c>
      <c r="F33" s="79"/>
      <c r="G33" s="79"/>
      <c r="H33" s="79"/>
      <c r="I33" s="79"/>
      <c r="K33" s="79"/>
      <c r="L33" s="79"/>
      <c r="M33" s="79"/>
      <c r="N33" s="79"/>
    </row>
    <row r="34" spans="1:14" x14ac:dyDescent="0.45">
      <c r="D34" s="87" t="s">
        <v>175</v>
      </c>
      <c r="F34" s="79"/>
      <c r="G34" s="79"/>
      <c r="H34" s="79"/>
      <c r="I34" s="79"/>
      <c r="K34" s="79"/>
      <c r="L34" s="79"/>
      <c r="M34" s="79"/>
      <c r="N34" s="79"/>
    </row>
    <row r="35" spans="1:14" x14ac:dyDescent="0.45">
      <c r="D35" s="87" t="s">
        <v>176</v>
      </c>
      <c r="F35" s="79"/>
      <c r="G35" s="79"/>
      <c r="H35" s="79"/>
      <c r="I35" s="79"/>
      <c r="K35" s="79"/>
      <c r="L35" s="79"/>
      <c r="M35" s="79"/>
      <c r="N35" s="79"/>
    </row>
    <row r="36" spans="1:14" x14ac:dyDescent="0.45">
      <c r="D36" s="87" t="s">
        <v>177</v>
      </c>
      <c r="F36" s="79"/>
      <c r="G36" s="79"/>
      <c r="H36" s="79"/>
      <c r="I36" s="79"/>
      <c r="K36" s="79"/>
      <c r="L36" s="79"/>
      <c r="M36" s="79"/>
      <c r="N36" s="79"/>
    </row>
    <row r="37" spans="1:14" x14ac:dyDescent="0.45">
      <c r="D37" s="87" t="s">
        <v>179</v>
      </c>
      <c r="F37" s="79" t="s">
        <v>189</v>
      </c>
      <c r="G37" s="79"/>
      <c r="H37" s="79"/>
      <c r="I37" s="79">
        <v>0.11</v>
      </c>
      <c r="K37" s="79" t="s">
        <v>189</v>
      </c>
      <c r="L37" s="79"/>
      <c r="M37" s="79"/>
      <c r="N37" s="79">
        <v>0.11</v>
      </c>
    </row>
    <row r="39" spans="1:14" x14ac:dyDescent="0.45">
      <c r="D39" s="87" t="s">
        <v>193</v>
      </c>
      <c r="F39" s="80">
        <v>0.83</v>
      </c>
      <c r="G39" s="81"/>
      <c r="H39" s="81"/>
      <c r="I39" s="82"/>
      <c r="K39" s="80">
        <v>0.17</v>
      </c>
      <c r="L39" s="81"/>
      <c r="M39" s="81"/>
      <c r="N39" s="82"/>
    </row>
    <row r="41" spans="1:14" x14ac:dyDescent="0.45">
      <c r="D41" s="87" t="s">
        <v>190</v>
      </c>
      <c r="F41" s="71">
        <f>SUM(I31:I37)</f>
        <v>0.32869565217391306</v>
      </c>
      <c r="G41" s="72"/>
      <c r="H41" s="72"/>
      <c r="I41" s="73"/>
      <c r="K41" s="71">
        <f>SUM(N31:N37)</f>
        <v>0.84499999999999997</v>
      </c>
      <c r="L41" s="72"/>
      <c r="M41" s="72"/>
      <c r="N41" s="73"/>
    </row>
    <row r="42" spans="1:14" x14ac:dyDescent="0.45">
      <c r="D42" s="87" t="s">
        <v>191</v>
      </c>
      <c r="F42" s="71">
        <f>IF(F41&lt;&gt;0,1/F41,"")</f>
        <v>3.0423280423280423</v>
      </c>
      <c r="G42" s="72"/>
      <c r="H42" s="72"/>
      <c r="I42" s="73"/>
      <c r="K42" s="71">
        <f>IF(K41&lt;&gt;0,1/K41,"")</f>
        <v>1.1834319526627219</v>
      </c>
      <c r="L42" s="72"/>
      <c r="M42" s="72"/>
      <c r="N42" s="73"/>
    </row>
    <row r="44" spans="1:14" x14ac:dyDescent="0.45">
      <c r="A44" s="87" t="s">
        <v>169</v>
      </c>
      <c r="B44" s="74">
        <v>4</v>
      </c>
      <c r="D44" s="87" t="s">
        <v>178</v>
      </c>
      <c r="F44" s="79" t="s">
        <v>188</v>
      </c>
      <c r="G44" s="79"/>
      <c r="H44" s="79"/>
      <c r="I44" s="79">
        <v>0.11</v>
      </c>
      <c r="K44" s="79" t="s">
        <v>188</v>
      </c>
      <c r="L44" s="79"/>
      <c r="M44" s="79"/>
      <c r="N44" s="79">
        <v>0.11</v>
      </c>
    </row>
    <row r="45" spans="1:14" x14ac:dyDescent="0.45">
      <c r="A45" s="87" t="s">
        <v>170</v>
      </c>
      <c r="B45" s="79" t="s">
        <v>198</v>
      </c>
      <c r="D45" s="87" t="s">
        <v>173</v>
      </c>
      <c r="F45" s="79" t="s">
        <v>194</v>
      </c>
      <c r="G45" s="79">
        <v>7.4999999999999997E-2</v>
      </c>
      <c r="H45" s="79">
        <v>0.69</v>
      </c>
      <c r="I45" s="79">
        <f>G45/H45</f>
        <v>0.10869565217391305</v>
      </c>
      <c r="K45" s="79" t="s">
        <v>195</v>
      </c>
      <c r="L45" s="79">
        <v>7.4999999999999997E-2</v>
      </c>
      <c r="M45" s="79">
        <v>0.12</v>
      </c>
      <c r="N45" s="79">
        <f>L45/M45</f>
        <v>0.625</v>
      </c>
    </row>
    <row r="46" spans="1:14" ht="20.25" x14ac:dyDescent="0.45">
      <c r="A46" s="87" t="s">
        <v>192</v>
      </c>
      <c r="B46" s="74">
        <f>IF(AND(F52="",K52=""),"",IF(F52&lt;&gt;"",F55*F52)+IF(K52&lt;&gt;"",K55*K52,0))</f>
        <v>2.7263157070849378</v>
      </c>
      <c r="D46" s="87" t="s">
        <v>174</v>
      </c>
      <c r="F46" s="79"/>
      <c r="G46" s="79"/>
      <c r="H46" s="79"/>
      <c r="I46" s="79"/>
      <c r="K46" s="79"/>
      <c r="L46" s="79"/>
      <c r="M46" s="79"/>
      <c r="N46" s="79"/>
    </row>
    <row r="47" spans="1:14" x14ac:dyDescent="0.45">
      <c r="D47" s="87" t="s">
        <v>175</v>
      </c>
      <c r="F47" s="79"/>
      <c r="G47" s="79"/>
      <c r="H47" s="79"/>
      <c r="I47" s="79"/>
      <c r="K47" s="79"/>
      <c r="L47" s="79"/>
      <c r="M47" s="79"/>
      <c r="N47" s="79"/>
    </row>
    <row r="48" spans="1:14" x14ac:dyDescent="0.45">
      <c r="D48" s="87" t="s">
        <v>176</v>
      </c>
      <c r="F48" s="79"/>
      <c r="G48" s="79"/>
      <c r="H48" s="79"/>
      <c r="I48" s="79"/>
      <c r="K48" s="79"/>
      <c r="L48" s="79"/>
      <c r="M48" s="79"/>
      <c r="N48" s="79"/>
    </row>
    <row r="49" spans="1:14" x14ac:dyDescent="0.45">
      <c r="D49" s="87" t="s">
        <v>177</v>
      </c>
      <c r="F49" s="79"/>
      <c r="G49" s="79"/>
      <c r="H49" s="79"/>
      <c r="I49" s="79"/>
      <c r="K49" s="79"/>
      <c r="L49" s="79"/>
      <c r="M49" s="79"/>
      <c r="N49" s="79"/>
    </row>
    <row r="50" spans="1:14" x14ac:dyDescent="0.45">
      <c r="D50" s="87" t="s">
        <v>179</v>
      </c>
      <c r="F50" s="79" t="s">
        <v>189</v>
      </c>
      <c r="G50" s="79"/>
      <c r="H50" s="79"/>
      <c r="I50" s="79">
        <v>0.11</v>
      </c>
      <c r="K50" s="79" t="s">
        <v>189</v>
      </c>
      <c r="L50" s="79"/>
      <c r="M50" s="79"/>
      <c r="N50" s="79">
        <v>0.11</v>
      </c>
    </row>
    <row r="52" spans="1:14" x14ac:dyDescent="0.45">
      <c r="D52" s="87" t="s">
        <v>193</v>
      </c>
      <c r="F52" s="80">
        <v>0.83</v>
      </c>
      <c r="G52" s="81"/>
      <c r="H52" s="81"/>
      <c r="I52" s="82"/>
      <c r="K52" s="80">
        <v>0.17</v>
      </c>
      <c r="L52" s="81"/>
      <c r="M52" s="81"/>
      <c r="N52" s="82"/>
    </row>
    <row r="54" spans="1:14" x14ac:dyDescent="0.45">
      <c r="D54" s="87" t="s">
        <v>190</v>
      </c>
      <c r="F54" s="71">
        <f>SUM(I44:I50)</f>
        <v>0.32869565217391306</v>
      </c>
      <c r="G54" s="72"/>
      <c r="H54" s="72"/>
      <c r="I54" s="73"/>
      <c r="K54" s="71">
        <f>SUM(N44:N50)</f>
        <v>0.84499999999999997</v>
      </c>
      <c r="L54" s="72"/>
      <c r="M54" s="72"/>
      <c r="N54" s="73"/>
    </row>
    <row r="55" spans="1:14" x14ac:dyDescent="0.45">
      <c r="D55" s="87" t="s">
        <v>191</v>
      </c>
      <c r="F55" s="71">
        <f>IF(F54&lt;&gt;0,1/F54,"")</f>
        <v>3.0423280423280423</v>
      </c>
      <c r="G55" s="72"/>
      <c r="H55" s="72"/>
      <c r="I55" s="73"/>
      <c r="K55" s="71">
        <f>IF(K54&lt;&gt;0,1/K54,"")</f>
        <v>1.1834319526627219</v>
      </c>
      <c r="L55" s="72"/>
      <c r="M55" s="72"/>
      <c r="N55" s="73"/>
    </row>
    <row r="57" spans="1:14" x14ac:dyDescent="0.45">
      <c r="A57" s="87" t="s">
        <v>169</v>
      </c>
      <c r="B57" s="74">
        <v>5</v>
      </c>
      <c r="D57" s="87" t="s">
        <v>178</v>
      </c>
      <c r="F57" s="79" t="s">
        <v>188</v>
      </c>
      <c r="G57" s="79"/>
      <c r="H57" s="79"/>
      <c r="I57" s="79">
        <v>0.11</v>
      </c>
      <c r="K57" s="79" t="s">
        <v>188</v>
      </c>
      <c r="L57" s="79"/>
      <c r="M57" s="79"/>
      <c r="N57" s="79">
        <v>0.11</v>
      </c>
    </row>
    <row r="58" spans="1:14" x14ac:dyDescent="0.45">
      <c r="A58" s="87" t="s">
        <v>170</v>
      </c>
      <c r="B58" s="79" t="s">
        <v>199</v>
      </c>
      <c r="D58" s="87" t="s">
        <v>173</v>
      </c>
      <c r="F58" s="79" t="s">
        <v>200</v>
      </c>
      <c r="G58" s="79">
        <v>8.9999999999999993E-3</v>
      </c>
      <c r="H58" s="79">
        <v>0.12</v>
      </c>
      <c r="I58" s="79">
        <f>G58/H58</f>
        <v>7.4999999999999997E-2</v>
      </c>
      <c r="K58" s="79" t="s">
        <v>195</v>
      </c>
      <c r="L58" s="79">
        <v>8.9999999999999993E-3</v>
      </c>
      <c r="M58" s="79">
        <v>0.12</v>
      </c>
      <c r="N58" s="79">
        <f>L58/M58</f>
        <v>7.4999999999999997E-2</v>
      </c>
    </row>
    <row r="59" spans="1:14" ht="20.25" x14ac:dyDescent="0.45">
      <c r="A59" s="87" t="s">
        <v>192</v>
      </c>
      <c r="B59" s="74">
        <f>IF(AND(F65="",K65=""),"",IF(F65&lt;&gt;"",F68*F65)+IF(K65&lt;&gt;"",K68*K65,0))</f>
        <v>3.3898305084745766</v>
      </c>
      <c r="D59" s="87" t="s">
        <v>174</v>
      </c>
      <c r="F59" s="79"/>
      <c r="G59" s="79"/>
      <c r="H59" s="79"/>
      <c r="I59" s="79"/>
      <c r="K59" s="79"/>
      <c r="L59" s="79"/>
      <c r="M59" s="79"/>
      <c r="N59" s="79"/>
    </row>
    <row r="60" spans="1:14" x14ac:dyDescent="0.45">
      <c r="D60" s="87" t="s">
        <v>175</v>
      </c>
      <c r="F60" s="79"/>
      <c r="G60" s="79"/>
      <c r="H60" s="79"/>
      <c r="I60" s="79"/>
      <c r="K60" s="79"/>
      <c r="L60" s="79"/>
      <c r="M60" s="79"/>
      <c r="N60" s="79"/>
    </row>
    <row r="61" spans="1:14" x14ac:dyDescent="0.45">
      <c r="D61" s="87" t="s">
        <v>176</v>
      </c>
      <c r="F61" s="79"/>
      <c r="G61" s="79"/>
      <c r="H61" s="79"/>
      <c r="I61" s="79"/>
      <c r="K61" s="79"/>
      <c r="L61" s="79"/>
      <c r="M61" s="79"/>
      <c r="N61" s="79"/>
    </row>
    <row r="62" spans="1:14" x14ac:dyDescent="0.45">
      <c r="D62" s="87" t="s">
        <v>177</v>
      </c>
      <c r="F62" s="79"/>
      <c r="G62" s="79"/>
      <c r="H62" s="79"/>
      <c r="I62" s="79"/>
      <c r="K62" s="79"/>
      <c r="L62" s="79"/>
      <c r="M62" s="79"/>
      <c r="N62" s="79"/>
    </row>
    <row r="63" spans="1:14" x14ac:dyDescent="0.45">
      <c r="D63" s="87" t="s">
        <v>179</v>
      </c>
      <c r="F63" s="79" t="s">
        <v>189</v>
      </c>
      <c r="G63" s="79"/>
      <c r="H63" s="79"/>
      <c r="I63" s="79">
        <v>0.11</v>
      </c>
      <c r="K63" s="79" t="s">
        <v>189</v>
      </c>
      <c r="L63" s="79"/>
      <c r="M63" s="79"/>
      <c r="N63" s="79">
        <v>0.11</v>
      </c>
    </row>
    <row r="65" spans="1:14" x14ac:dyDescent="0.45">
      <c r="D65" s="87" t="s">
        <v>193</v>
      </c>
      <c r="F65" s="80">
        <v>0.83</v>
      </c>
      <c r="G65" s="81"/>
      <c r="H65" s="81"/>
      <c r="I65" s="82"/>
      <c r="K65" s="80">
        <v>0.17</v>
      </c>
      <c r="L65" s="81"/>
      <c r="M65" s="81"/>
      <c r="N65" s="82"/>
    </row>
    <row r="67" spans="1:14" x14ac:dyDescent="0.45">
      <c r="D67" s="87" t="s">
        <v>190</v>
      </c>
      <c r="F67" s="71">
        <f>SUM(I57:I63)</f>
        <v>0.29499999999999998</v>
      </c>
      <c r="G67" s="72"/>
      <c r="H67" s="72"/>
      <c r="I67" s="73"/>
      <c r="K67" s="71">
        <f>SUM(N57:N63)</f>
        <v>0.29499999999999998</v>
      </c>
      <c r="L67" s="72"/>
      <c r="M67" s="72"/>
      <c r="N67" s="73"/>
    </row>
    <row r="68" spans="1:14" x14ac:dyDescent="0.45">
      <c r="D68" s="87" t="s">
        <v>191</v>
      </c>
      <c r="F68" s="71">
        <f>IF(F67&lt;&gt;0,1/F67,"")</f>
        <v>3.3898305084745766</v>
      </c>
      <c r="G68" s="72"/>
      <c r="H68" s="72"/>
      <c r="I68" s="73"/>
      <c r="K68" s="71">
        <f>IF(K67&lt;&gt;0,1/K67,"")</f>
        <v>3.3898305084745766</v>
      </c>
      <c r="L68" s="72"/>
      <c r="M68" s="72"/>
      <c r="N68" s="73"/>
    </row>
    <row r="70" spans="1:14" x14ac:dyDescent="0.45">
      <c r="A70" s="87" t="s">
        <v>169</v>
      </c>
      <c r="B70" s="74">
        <v>6</v>
      </c>
      <c r="D70" s="87" t="s">
        <v>178</v>
      </c>
      <c r="F70" s="79" t="s">
        <v>188</v>
      </c>
      <c r="G70" s="79"/>
      <c r="H70" s="79"/>
      <c r="I70" s="79">
        <v>0.11</v>
      </c>
      <c r="K70" s="79" t="s">
        <v>188</v>
      </c>
      <c r="L70" s="79"/>
      <c r="M70" s="79"/>
      <c r="N70" s="79">
        <v>0.11</v>
      </c>
    </row>
    <row r="71" spans="1:14" x14ac:dyDescent="0.45">
      <c r="A71" s="87" t="s">
        <v>170</v>
      </c>
      <c r="B71" s="79" t="s">
        <v>201</v>
      </c>
      <c r="D71" s="87" t="s">
        <v>173</v>
      </c>
      <c r="F71" s="79" t="s">
        <v>194</v>
      </c>
      <c r="G71" s="79">
        <v>3.7499999999999999E-2</v>
      </c>
      <c r="H71" s="79">
        <v>0.69</v>
      </c>
      <c r="I71" s="79">
        <f>G71/H71</f>
        <v>5.4347826086956527E-2</v>
      </c>
      <c r="K71" s="79" t="s">
        <v>195</v>
      </c>
      <c r="L71" s="79">
        <v>3.7499999999999999E-2</v>
      </c>
      <c r="M71" s="79">
        <v>0.12</v>
      </c>
      <c r="N71" s="79">
        <f>L71/M71</f>
        <v>0.3125</v>
      </c>
    </row>
    <row r="72" spans="1:14" ht="20.25" x14ac:dyDescent="0.45">
      <c r="A72" s="87" t="s">
        <v>192</v>
      </c>
      <c r="B72" s="74">
        <f>IF(AND(F78="",K78=""),"",IF(F78&lt;&gt;"",F81*F78)+IF(K78&lt;&gt;"",K81*K78,0))</f>
        <v>3.3446054031532038</v>
      </c>
      <c r="D72" s="87" t="s">
        <v>174</v>
      </c>
      <c r="F72" s="79"/>
      <c r="G72" s="79"/>
      <c r="H72" s="79"/>
      <c r="I72" s="79"/>
      <c r="K72" s="79"/>
      <c r="L72" s="79"/>
      <c r="M72" s="79"/>
      <c r="N72" s="79"/>
    </row>
    <row r="73" spans="1:14" x14ac:dyDescent="0.45">
      <c r="D73" s="87" t="s">
        <v>175</v>
      </c>
      <c r="F73" s="79"/>
      <c r="G73" s="79"/>
      <c r="H73" s="79"/>
      <c r="I73" s="79"/>
      <c r="K73" s="79"/>
      <c r="L73" s="79"/>
      <c r="M73" s="79"/>
      <c r="N73" s="79"/>
    </row>
    <row r="74" spans="1:14" x14ac:dyDescent="0.45">
      <c r="D74" s="87" t="s">
        <v>176</v>
      </c>
      <c r="F74" s="79"/>
      <c r="G74" s="79"/>
      <c r="H74" s="79"/>
      <c r="I74" s="79"/>
      <c r="K74" s="79"/>
      <c r="L74" s="79"/>
      <c r="M74" s="79"/>
      <c r="N74" s="79"/>
    </row>
    <row r="75" spans="1:14" x14ac:dyDescent="0.45">
      <c r="D75" s="87" t="s">
        <v>177</v>
      </c>
      <c r="F75" s="79"/>
      <c r="G75" s="79"/>
      <c r="H75" s="79"/>
      <c r="I75" s="79"/>
      <c r="K75" s="79"/>
      <c r="L75" s="79"/>
      <c r="M75" s="79"/>
      <c r="N75" s="79"/>
    </row>
    <row r="76" spans="1:14" x14ac:dyDescent="0.45">
      <c r="D76" s="87" t="s">
        <v>179</v>
      </c>
      <c r="F76" s="79" t="s">
        <v>189</v>
      </c>
      <c r="G76" s="79"/>
      <c r="H76" s="79"/>
      <c r="I76" s="79">
        <v>0.11</v>
      </c>
      <c r="K76" s="79" t="s">
        <v>189</v>
      </c>
      <c r="L76" s="79"/>
      <c r="M76" s="79"/>
      <c r="N76" s="79">
        <v>0.11</v>
      </c>
    </row>
    <row r="78" spans="1:14" x14ac:dyDescent="0.45">
      <c r="D78" s="87" t="s">
        <v>193</v>
      </c>
      <c r="F78" s="80">
        <v>0.83</v>
      </c>
      <c r="G78" s="81"/>
      <c r="H78" s="81"/>
      <c r="I78" s="82"/>
      <c r="K78" s="80">
        <v>0.17</v>
      </c>
      <c r="L78" s="81"/>
      <c r="M78" s="81"/>
      <c r="N78" s="82"/>
    </row>
    <row r="80" spans="1:14" x14ac:dyDescent="0.45">
      <c r="D80" s="87" t="s">
        <v>190</v>
      </c>
      <c r="F80" s="71">
        <f>SUM(I70:I76)</f>
        <v>0.27434782608695651</v>
      </c>
      <c r="G80" s="72"/>
      <c r="H80" s="72"/>
      <c r="I80" s="73"/>
      <c r="K80" s="71">
        <f>SUM(N70:N76)</f>
        <v>0.53249999999999997</v>
      </c>
      <c r="L80" s="72"/>
      <c r="M80" s="72"/>
      <c r="N80" s="73"/>
    </row>
    <row r="81" spans="1:14" x14ac:dyDescent="0.45">
      <c r="D81" s="87" t="s">
        <v>191</v>
      </c>
      <c r="F81" s="71">
        <f>IF(F80&lt;&gt;0,1/F80,"")</f>
        <v>3.6450079239302697</v>
      </c>
      <c r="G81" s="72"/>
      <c r="H81" s="72"/>
      <c r="I81" s="73"/>
      <c r="K81" s="71">
        <f>IF(K80&lt;&gt;0,1/K80,"")</f>
        <v>1.8779342723004695</v>
      </c>
      <c r="L81" s="72"/>
      <c r="M81" s="72"/>
      <c r="N81" s="73"/>
    </row>
    <row r="83" spans="1:14" x14ac:dyDescent="0.45">
      <c r="A83" s="87" t="s">
        <v>169</v>
      </c>
      <c r="B83" s="74">
        <v>7</v>
      </c>
      <c r="D83" s="87" t="s">
        <v>178</v>
      </c>
      <c r="F83" s="79" t="s">
        <v>188</v>
      </c>
      <c r="G83" s="79"/>
      <c r="H83" s="79"/>
      <c r="I83" s="79">
        <v>0.11</v>
      </c>
      <c r="K83" s="79"/>
      <c r="L83" s="79"/>
      <c r="M83" s="79"/>
      <c r="N83" s="79"/>
    </row>
    <row r="84" spans="1:14" x14ac:dyDescent="0.45">
      <c r="A84" s="87" t="s">
        <v>170</v>
      </c>
      <c r="B84" s="79" t="s">
        <v>202</v>
      </c>
      <c r="D84" s="87" t="s">
        <v>173</v>
      </c>
      <c r="F84" s="79" t="s">
        <v>194</v>
      </c>
      <c r="G84" s="79">
        <v>1.4999999999999999E-2</v>
      </c>
      <c r="H84" s="79">
        <v>0.12</v>
      </c>
      <c r="I84" s="79">
        <f>G84/H84</f>
        <v>0.125</v>
      </c>
      <c r="K84" s="79"/>
      <c r="L84" s="79"/>
      <c r="M84" s="79"/>
      <c r="N84" s="79"/>
    </row>
    <row r="85" spans="1:14" ht="20.25" x14ac:dyDescent="0.45">
      <c r="A85" s="87" t="s">
        <v>192</v>
      </c>
      <c r="B85" s="74">
        <f>IF(AND(F91="",K91=""),"",IF(F91&lt;&gt;"",F94*F91)+IF(K91&lt;&gt;"",K94*K91,0))</f>
        <v>2.8985507246376816</v>
      </c>
      <c r="D85" s="87" t="s">
        <v>174</v>
      </c>
      <c r="F85" s="79"/>
      <c r="G85" s="79"/>
      <c r="H85" s="79"/>
      <c r="I85" s="79"/>
      <c r="K85" s="79"/>
      <c r="L85" s="79"/>
      <c r="M85" s="79"/>
      <c r="N85" s="79"/>
    </row>
    <row r="86" spans="1:14" x14ac:dyDescent="0.45">
      <c r="D86" s="87" t="s">
        <v>175</v>
      </c>
      <c r="F86" s="79"/>
      <c r="G86" s="79"/>
      <c r="H86" s="79"/>
      <c r="I86" s="79"/>
      <c r="K86" s="79"/>
      <c r="L86" s="79"/>
      <c r="M86" s="79"/>
      <c r="N86" s="79"/>
    </row>
    <row r="87" spans="1:14" x14ac:dyDescent="0.45">
      <c r="D87" s="87" t="s">
        <v>176</v>
      </c>
      <c r="F87" s="79"/>
      <c r="G87" s="79"/>
      <c r="H87" s="79"/>
      <c r="I87" s="79"/>
      <c r="K87" s="79"/>
      <c r="L87" s="79"/>
      <c r="M87" s="79"/>
      <c r="N87" s="79"/>
    </row>
    <row r="88" spans="1:14" x14ac:dyDescent="0.45">
      <c r="D88" s="87" t="s">
        <v>177</v>
      </c>
      <c r="F88" s="79"/>
      <c r="G88" s="79"/>
      <c r="H88" s="79"/>
      <c r="I88" s="79"/>
      <c r="K88" s="79"/>
      <c r="L88" s="79"/>
      <c r="M88" s="79"/>
      <c r="N88" s="79"/>
    </row>
    <row r="89" spans="1:14" x14ac:dyDescent="0.45">
      <c r="D89" s="87" t="s">
        <v>179</v>
      </c>
      <c r="F89" s="79" t="s">
        <v>189</v>
      </c>
      <c r="G89" s="79"/>
      <c r="H89" s="79"/>
      <c r="I89" s="79">
        <v>0.11</v>
      </c>
      <c r="K89" s="79"/>
      <c r="L89" s="79"/>
      <c r="M89" s="79"/>
      <c r="N89" s="79"/>
    </row>
    <row r="91" spans="1:14" x14ac:dyDescent="0.45">
      <c r="D91" s="87" t="s">
        <v>193</v>
      </c>
      <c r="F91" s="80">
        <v>1</v>
      </c>
      <c r="G91" s="81"/>
      <c r="H91" s="81"/>
      <c r="I91" s="82"/>
      <c r="K91" s="80"/>
      <c r="L91" s="81"/>
      <c r="M91" s="81"/>
      <c r="N91" s="82"/>
    </row>
    <row r="93" spans="1:14" x14ac:dyDescent="0.45">
      <c r="D93" s="87" t="s">
        <v>190</v>
      </c>
      <c r="F93" s="71">
        <f>SUM(I83:I89)</f>
        <v>0.34499999999999997</v>
      </c>
      <c r="G93" s="72"/>
      <c r="H93" s="72"/>
      <c r="I93" s="73"/>
      <c r="K93" s="71">
        <f>SUM(N83:N89)</f>
        <v>0</v>
      </c>
      <c r="L93" s="72"/>
      <c r="M93" s="72"/>
      <c r="N93" s="73"/>
    </row>
    <row r="94" spans="1:14" x14ac:dyDescent="0.45">
      <c r="D94" s="87" t="s">
        <v>191</v>
      </c>
      <c r="F94" s="71">
        <f>IF(F93&lt;&gt;0,1/F93,"")</f>
        <v>2.8985507246376816</v>
      </c>
      <c r="G94" s="72"/>
      <c r="H94" s="72"/>
      <c r="I94" s="73"/>
      <c r="K94" s="71" t="str">
        <f>IF(K93&lt;&gt;0,1/K93,"")</f>
        <v/>
      </c>
      <c r="L94" s="72"/>
      <c r="M94" s="72"/>
      <c r="N94" s="73"/>
    </row>
    <row r="96" spans="1:14" x14ac:dyDescent="0.45">
      <c r="A96" s="87" t="s">
        <v>169</v>
      </c>
      <c r="B96" s="74">
        <v>8</v>
      </c>
      <c r="D96" s="87" t="s">
        <v>178</v>
      </c>
      <c r="F96" s="79" t="s">
        <v>188</v>
      </c>
      <c r="G96" s="79"/>
      <c r="H96" s="79"/>
      <c r="I96" s="79">
        <v>0.15</v>
      </c>
      <c r="K96" s="79"/>
      <c r="L96" s="79"/>
      <c r="M96" s="79"/>
      <c r="N96" s="79"/>
    </row>
    <row r="97" spans="1:14" x14ac:dyDescent="0.45">
      <c r="A97" s="87" t="s">
        <v>170</v>
      </c>
      <c r="B97" s="79" t="s">
        <v>203</v>
      </c>
      <c r="D97" s="87" t="s">
        <v>173</v>
      </c>
      <c r="F97" s="79" t="s">
        <v>200</v>
      </c>
      <c r="G97" s="79">
        <v>1.4999999999999999E-2</v>
      </c>
      <c r="H97" s="79">
        <v>0.12</v>
      </c>
      <c r="I97" s="79">
        <f>G97/H97</f>
        <v>0.125</v>
      </c>
      <c r="K97" s="79"/>
      <c r="L97" s="79"/>
      <c r="M97" s="79"/>
      <c r="N97" s="79"/>
    </row>
    <row r="98" spans="1:14" ht="20.25" x14ac:dyDescent="0.45">
      <c r="A98" s="87" t="s">
        <v>192</v>
      </c>
      <c r="B98" s="74">
        <f>IF(AND(F104="",K104=""),"",IF(F104&lt;&gt;"",F107*F104)+IF(K104&lt;&gt;"",K107*K104,0))</f>
        <v>3.1746031746031744</v>
      </c>
      <c r="D98" s="87" t="s">
        <v>174</v>
      </c>
      <c r="F98" s="79"/>
      <c r="G98" s="79"/>
      <c r="H98" s="79"/>
      <c r="I98" s="79"/>
      <c r="K98" s="79"/>
      <c r="L98" s="79"/>
      <c r="M98" s="79"/>
      <c r="N98" s="79"/>
    </row>
    <row r="99" spans="1:14" x14ac:dyDescent="0.45">
      <c r="D99" s="87" t="s">
        <v>175</v>
      </c>
      <c r="F99" s="79"/>
      <c r="G99" s="79"/>
      <c r="H99" s="79"/>
      <c r="I99" s="79"/>
      <c r="K99" s="79"/>
      <c r="L99" s="79"/>
      <c r="M99" s="79"/>
      <c r="N99" s="79"/>
    </row>
    <row r="100" spans="1:14" x14ac:dyDescent="0.45">
      <c r="D100" s="87" t="s">
        <v>176</v>
      </c>
      <c r="F100" s="79"/>
      <c r="G100" s="79"/>
      <c r="H100" s="79"/>
      <c r="I100" s="79"/>
      <c r="K100" s="79"/>
      <c r="L100" s="79"/>
      <c r="M100" s="79"/>
      <c r="N100" s="79"/>
    </row>
    <row r="101" spans="1:14" x14ac:dyDescent="0.45">
      <c r="D101" s="87" t="s">
        <v>177</v>
      </c>
      <c r="F101" s="79"/>
      <c r="G101" s="79"/>
      <c r="H101" s="79"/>
      <c r="I101" s="79"/>
      <c r="K101" s="79"/>
      <c r="L101" s="79"/>
      <c r="M101" s="79"/>
      <c r="N101" s="79"/>
    </row>
    <row r="102" spans="1:14" x14ac:dyDescent="0.45">
      <c r="D102" s="87" t="s">
        <v>179</v>
      </c>
      <c r="F102" s="79" t="s">
        <v>189</v>
      </c>
      <c r="G102" s="79"/>
      <c r="H102" s="79"/>
      <c r="I102" s="79">
        <v>0.04</v>
      </c>
      <c r="K102" s="79"/>
      <c r="L102" s="79"/>
      <c r="M102" s="79"/>
      <c r="N102" s="79"/>
    </row>
    <row r="104" spans="1:14" x14ac:dyDescent="0.45">
      <c r="D104" s="87" t="s">
        <v>193</v>
      </c>
      <c r="F104" s="80">
        <v>1</v>
      </c>
      <c r="G104" s="81"/>
      <c r="H104" s="81"/>
      <c r="I104" s="82"/>
      <c r="K104" s="80"/>
      <c r="L104" s="81"/>
      <c r="M104" s="81"/>
      <c r="N104" s="82"/>
    </row>
    <row r="106" spans="1:14" x14ac:dyDescent="0.45">
      <c r="D106" s="87" t="s">
        <v>190</v>
      </c>
      <c r="F106" s="71">
        <f>SUM(I96:I102)</f>
        <v>0.315</v>
      </c>
      <c r="G106" s="72"/>
      <c r="H106" s="72"/>
      <c r="I106" s="73"/>
      <c r="K106" s="71">
        <f>SUM(N96:N102)</f>
        <v>0</v>
      </c>
      <c r="L106" s="72"/>
      <c r="M106" s="72"/>
      <c r="N106" s="73"/>
    </row>
    <row r="107" spans="1:14" x14ac:dyDescent="0.45">
      <c r="D107" s="87" t="s">
        <v>191</v>
      </c>
      <c r="F107" s="71">
        <f>IF(F106&lt;&gt;0,1/F106,"")</f>
        <v>3.1746031746031744</v>
      </c>
      <c r="G107" s="72"/>
      <c r="H107" s="72"/>
      <c r="I107" s="73"/>
      <c r="K107" s="71" t="str">
        <f>IF(K106&lt;&gt;0,1/K106,"")</f>
        <v/>
      </c>
      <c r="L107" s="72"/>
      <c r="M107" s="72"/>
      <c r="N107" s="73"/>
    </row>
    <row r="109" spans="1:14" x14ac:dyDescent="0.45">
      <c r="A109" s="87" t="s">
        <v>169</v>
      </c>
      <c r="B109" s="74">
        <v>9</v>
      </c>
      <c r="D109" s="87" t="s">
        <v>178</v>
      </c>
      <c r="F109" s="79" t="s">
        <v>188</v>
      </c>
      <c r="G109" s="79"/>
      <c r="H109" s="79"/>
      <c r="I109" s="79">
        <v>0.15</v>
      </c>
      <c r="K109" s="79"/>
      <c r="L109" s="79"/>
      <c r="M109" s="79"/>
      <c r="N109" s="79"/>
    </row>
    <row r="110" spans="1:14" x14ac:dyDescent="0.45">
      <c r="A110" s="87" t="s">
        <v>170</v>
      </c>
      <c r="B110" s="79" t="s">
        <v>204</v>
      </c>
      <c r="D110" s="87" t="s">
        <v>173</v>
      </c>
      <c r="F110" s="79" t="s">
        <v>200</v>
      </c>
      <c r="G110" s="79">
        <v>1.4999999999999999E-2</v>
      </c>
      <c r="H110" s="79">
        <v>0.12</v>
      </c>
      <c r="I110" s="79">
        <f>G110/H110</f>
        <v>0.125</v>
      </c>
      <c r="K110" s="79"/>
      <c r="L110" s="79"/>
      <c r="M110" s="79"/>
      <c r="N110" s="79"/>
    </row>
    <row r="111" spans="1:14" ht="20.25" x14ac:dyDescent="0.45">
      <c r="A111" s="87" t="s">
        <v>192</v>
      </c>
      <c r="B111" s="74">
        <f>IF(AND(F117="",K117=""),"",IF(F117&lt;&gt;"",F120*F117)+IF(K117&lt;&gt;"",K120*K117,0))</f>
        <v>2.3529411764705879</v>
      </c>
      <c r="D111" s="87" t="s">
        <v>174</v>
      </c>
      <c r="F111" s="79"/>
      <c r="G111" s="79"/>
      <c r="H111" s="79"/>
      <c r="I111" s="79"/>
      <c r="K111" s="79"/>
      <c r="L111" s="79"/>
      <c r="M111" s="79"/>
      <c r="N111" s="79"/>
    </row>
    <row r="112" spans="1:14" x14ac:dyDescent="0.45">
      <c r="D112" s="87" t="s">
        <v>175</v>
      </c>
      <c r="F112" s="79"/>
      <c r="G112" s="79"/>
      <c r="H112" s="79"/>
      <c r="I112" s="79"/>
      <c r="K112" s="79"/>
      <c r="L112" s="79"/>
      <c r="M112" s="79"/>
      <c r="N112" s="79"/>
    </row>
    <row r="113" spans="1:14" x14ac:dyDescent="0.45">
      <c r="D113" s="87" t="s">
        <v>176</v>
      </c>
      <c r="F113" s="79"/>
      <c r="G113" s="79"/>
      <c r="H113" s="79"/>
      <c r="I113" s="79"/>
      <c r="K113" s="79"/>
      <c r="L113" s="79"/>
      <c r="M113" s="79"/>
      <c r="N113" s="79"/>
    </row>
    <row r="114" spans="1:14" x14ac:dyDescent="0.45">
      <c r="D114" s="87" t="s">
        <v>177</v>
      </c>
      <c r="F114" s="79"/>
      <c r="G114" s="79"/>
      <c r="H114" s="79"/>
      <c r="I114" s="79"/>
      <c r="K114" s="79"/>
      <c r="L114" s="79"/>
      <c r="M114" s="79"/>
      <c r="N114" s="79"/>
    </row>
    <row r="115" spans="1:14" x14ac:dyDescent="0.45">
      <c r="D115" s="87" t="s">
        <v>179</v>
      </c>
      <c r="F115" s="79" t="s">
        <v>189</v>
      </c>
      <c r="G115" s="79"/>
      <c r="H115" s="79"/>
      <c r="I115" s="79">
        <v>0.15</v>
      </c>
      <c r="K115" s="79"/>
      <c r="L115" s="79"/>
      <c r="M115" s="79"/>
      <c r="N115" s="79"/>
    </row>
    <row r="117" spans="1:14" x14ac:dyDescent="0.45">
      <c r="D117" s="87" t="s">
        <v>193</v>
      </c>
      <c r="F117" s="80">
        <v>1</v>
      </c>
      <c r="G117" s="81"/>
      <c r="H117" s="81"/>
      <c r="I117" s="82"/>
      <c r="K117" s="80"/>
      <c r="L117" s="81"/>
      <c r="M117" s="81"/>
      <c r="N117" s="82"/>
    </row>
    <row r="119" spans="1:14" x14ac:dyDescent="0.45">
      <c r="D119" s="87" t="s">
        <v>190</v>
      </c>
      <c r="F119" s="71">
        <f>SUM(I109:I115)</f>
        <v>0.42500000000000004</v>
      </c>
      <c r="G119" s="72"/>
      <c r="H119" s="72"/>
      <c r="I119" s="73"/>
      <c r="K119" s="71">
        <f>SUM(N109:N115)</f>
        <v>0</v>
      </c>
      <c r="L119" s="72"/>
      <c r="M119" s="72"/>
      <c r="N119" s="73"/>
    </row>
    <row r="120" spans="1:14" x14ac:dyDescent="0.45">
      <c r="D120" s="87" t="s">
        <v>191</v>
      </c>
      <c r="F120" s="71">
        <f>IF(F119&lt;&gt;0,1/F119,"")</f>
        <v>2.3529411764705879</v>
      </c>
      <c r="G120" s="72"/>
      <c r="H120" s="72"/>
      <c r="I120" s="73"/>
      <c r="K120" s="71" t="str">
        <f>IF(K119&lt;&gt;0,1/K119,"")</f>
        <v/>
      </c>
      <c r="L120" s="72"/>
      <c r="M120" s="72"/>
      <c r="N120" s="73"/>
    </row>
    <row r="122" spans="1:14" x14ac:dyDescent="0.45">
      <c r="A122" s="87" t="s">
        <v>169</v>
      </c>
      <c r="B122" s="74">
        <v>10</v>
      </c>
      <c r="D122" s="87" t="s">
        <v>178</v>
      </c>
      <c r="F122" s="79" t="s">
        <v>188</v>
      </c>
      <c r="G122" s="79"/>
      <c r="H122" s="79"/>
      <c r="I122" s="79">
        <v>0.15</v>
      </c>
      <c r="K122" s="79"/>
      <c r="L122" s="79"/>
      <c r="M122" s="79"/>
      <c r="N122" s="79"/>
    </row>
    <row r="123" spans="1:14" x14ac:dyDescent="0.45">
      <c r="A123" s="87" t="s">
        <v>170</v>
      </c>
      <c r="B123" s="79" t="s">
        <v>205</v>
      </c>
      <c r="D123" s="87" t="s">
        <v>173</v>
      </c>
      <c r="F123" s="79" t="s">
        <v>206</v>
      </c>
      <c r="G123" s="79">
        <v>5.3999999999999999E-2</v>
      </c>
      <c r="H123" s="79">
        <v>0.15</v>
      </c>
      <c r="I123" s="79">
        <f>G123/H123</f>
        <v>0.36</v>
      </c>
      <c r="K123" s="79"/>
      <c r="L123" s="79"/>
      <c r="M123" s="79"/>
      <c r="N123" s="79"/>
    </row>
    <row r="124" spans="1:14" ht="20.25" x14ac:dyDescent="0.45">
      <c r="A124" s="87" t="s">
        <v>192</v>
      </c>
      <c r="B124" s="74">
        <f>IF(AND(F130="",K130=""),"",IF(F130&lt;&gt;"",F133*F130)+IF(K130&lt;&gt;"",K133*K130,0))</f>
        <v>1.2738853503184713</v>
      </c>
      <c r="D124" s="87" t="s">
        <v>174</v>
      </c>
      <c r="F124" s="79" t="s">
        <v>200</v>
      </c>
      <c r="G124" s="79">
        <v>1.4999999999999999E-2</v>
      </c>
      <c r="H124" s="79">
        <v>0.12</v>
      </c>
      <c r="I124" s="79">
        <f>G124/H124</f>
        <v>0.125</v>
      </c>
      <c r="K124" s="79"/>
      <c r="L124" s="79"/>
      <c r="M124" s="79"/>
      <c r="N124" s="79"/>
    </row>
    <row r="125" spans="1:14" x14ac:dyDescent="0.45">
      <c r="D125" s="87" t="s">
        <v>175</v>
      </c>
      <c r="F125" s="79"/>
      <c r="G125" s="79"/>
      <c r="H125" s="79"/>
      <c r="I125" s="79"/>
      <c r="K125" s="79"/>
      <c r="L125" s="79"/>
      <c r="M125" s="79"/>
      <c r="N125" s="79"/>
    </row>
    <row r="126" spans="1:14" x14ac:dyDescent="0.45">
      <c r="D126" s="87" t="s">
        <v>176</v>
      </c>
      <c r="F126" s="79"/>
      <c r="G126" s="79"/>
      <c r="H126" s="79"/>
      <c r="I126" s="79"/>
      <c r="K126" s="79"/>
      <c r="L126" s="79"/>
      <c r="M126" s="79"/>
      <c r="N126" s="79"/>
    </row>
    <row r="127" spans="1:14" x14ac:dyDescent="0.45">
      <c r="D127" s="87" t="s">
        <v>177</v>
      </c>
      <c r="F127" s="79"/>
      <c r="G127" s="79"/>
      <c r="H127" s="79"/>
      <c r="I127" s="79"/>
      <c r="K127" s="79"/>
      <c r="L127" s="79"/>
      <c r="M127" s="79"/>
      <c r="N127" s="79"/>
    </row>
    <row r="128" spans="1:14" x14ac:dyDescent="0.45">
      <c r="D128" s="87" t="s">
        <v>179</v>
      </c>
      <c r="F128" s="79" t="s">
        <v>189</v>
      </c>
      <c r="G128" s="79"/>
      <c r="H128" s="79"/>
      <c r="I128" s="79">
        <v>0.15</v>
      </c>
      <c r="K128" s="79"/>
      <c r="L128" s="79"/>
      <c r="M128" s="79"/>
      <c r="N128" s="79"/>
    </row>
    <row r="130" spans="1:14" x14ac:dyDescent="0.45">
      <c r="D130" s="87" t="s">
        <v>193</v>
      </c>
      <c r="F130" s="80">
        <v>1</v>
      </c>
      <c r="G130" s="81"/>
      <c r="H130" s="81"/>
      <c r="I130" s="82"/>
      <c r="K130" s="80"/>
      <c r="L130" s="81"/>
      <c r="M130" s="81"/>
      <c r="N130" s="82"/>
    </row>
    <row r="132" spans="1:14" x14ac:dyDescent="0.45">
      <c r="D132" s="87" t="s">
        <v>190</v>
      </c>
      <c r="F132" s="71">
        <f>SUM(I122:I128)</f>
        <v>0.78500000000000003</v>
      </c>
      <c r="G132" s="72"/>
      <c r="H132" s="72"/>
      <c r="I132" s="73"/>
      <c r="K132" s="71">
        <f>SUM(N122:N128)</f>
        <v>0</v>
      </c>
      <c r="L132" s="72"/>
      <c r="M132" s="72"/>
      <c r="N132" s="73"/>
    </row>
    <row r="133" spans="1:14" x14ac:dyDescent="0.45">
      <c r="D133" s="87" t="s">
        <v>191</v>
      </c>
      <c r="F133" s="71">
        <f>IF(F132&lt;&gt;0,1/F132,"")</f>
        <v>1.2738853503184713</v>
      </c>
      <c r="G133" s="72"/>
      <c r="H133" s="72"/>
      <c r="I133" s="73"/>
      <c r="K133" s="71" t="str">
        <f>IF(K132&lt;&gt;0,1/K132,"")</f>
        <v/>
      </c>
      <c r="L133" s="72"/>
      <c r="M133" s="72"/>
      <c r="N133" s="73"/>
    </row>
    <row r="135" spans="1:14" x14ac:dyDescent="0.45">
      <c r="A135" s="87" t="s">
        <v>169</v>
      </c>
      <c r="B135" s="74">
        <v>11</v>
      </c>
      <c r="D135" s="87" t="s">
        <v>178</v>
      </c>
      <c r="F135" s="79" t="s">
        <v>188</v>
      </c>
      <c r="G135" s="79"/>
      <c r="H135" s="79"/>
      <c r="I135" s="79">
        <v>0.09</v>
      </c>
      <c r="K135" s="79"/>
      <c r="L135" s="79"/>
      <c r="M135" s="79"/>
      <c r="N135" s="79"/>
    </row>
    <row r="136" spans="1:14" x14ac:dyDescent="0.45">
      <c r="A136" s="87" t="s">
        <v>170</v>
      </c>
      <c r="B136" s="79" t="s">
        <v>207</v>
      </c>
      <c r="D136" s="87" t="s">
        <v>173</v>
      </c>
      <c r="F136" s="79" t="s">
        <v>200</v>
      </c>
      <c r="G136" s="79">
        <v>8.9999999999999993E-3</v>
      </c>
      <c r="H136" s="79">
        <v>0.12</v>
      </c>
      <c r="I136" s="79">
        <f>G136/H136</f>
        <v>7.4999999999999997E-2</v>
      </c>
      <c r="K136" s="79"/>
      <c r="L136" s="79"/>
      <c r="M136" s="79"/>
      <c r="N136" s="79"/>
    </row>
    <row r="137" spans="1:14" ht="20.25" x14ac:dyDescent="0.45">
      <c r="A137" s="87" t="s">
        <v>192</v>
      </c>
      <c r="B137" s="74">
        <f>IF(AND(F143="",K143=""),"",IF(F143&lt;&gt;"",F146*F143)+IF(K143&lt;&gt;"",K146*K143,0))</f>
        <v>3.9215686274509802</v>
      </c>
      <c r="D137" s="87" t="s">
        <v>174</v>
      </c>
      <c r="F137" s="79"/>
      <c r="G137" s="79"/>
      <c r="H137" s="79"/>
      <c r="I137" s="79"/>
      <c r="K137" s="79"/>
      <c r="L137" s="79"/>
      <c r="M137" s="79"/>
      <c r="N137" s="79"/>
    </row>
    <row r="138" spans="1:14" x14ac:dyDescent="0.45">
      <c r="D138" s="87" t="s">
        <v>175</v>
      </c>
      <c r="F138" s="79"/>
      <c r="G138" s="79"/>
      <c r="H138" s="79"/>
      <c r="I138" s="79"/>
      <c r="K138" s="79"/>
      <c r="L138" s="79"/>
      <c r="M138" s="79"/>
      <c r="N138" s="79"/>
    </row>
    <row r="139" spans="1:14" x14ac:dyDescent="0.45">
      <c r="D139" s="87" t="s">
        <v>176</v>
      </c>
      <c r="F139" s="79"/>
      <c r="G139" s="79"/>
      <c r="H139" s="79"/>
      <c r="I139" s="79"/>
      <c r="K139" s="79"/>
      <c r="L139" s="79"/>
      <c r="M139" s="79"/>
      <c r="N139" s="79"/>
    </row>
    <row r="140" spans="1:14" x14ac:dyDescent="0.45">
      <c r="D140" s="87" t="s">
        <v>177</v>
      </c>
      <c r="F140" s="79"/>
      <c r="G140" s="79"/>
      <c r="H140" s="79"/>
      <c r="I140" s="79"/>
      <c r="K140" s="79"/>
      <c r="L140" s="79"/>
      <c r="M140" s="79"/>
      <c r="N140" s="79"/>
    </row>
    <row r="141" spans="1:14" x14ac:dyDescent="0.45">
      <c r="D141" s="87" t="s">
        <v>179</v>
      </c>
      <c r="F141" s="79" t="s">
        <v>189</v>
      </c>
      <c r="G141" s="79"/>
      <c r="H141" s="79"/>
      <c r="I141" s="79">
        <v>0.09</v>
      </c>
      <c r="K141" s="79"/>
      <c r="L141" s="79"/>
      <c r="M141" s="79"/>
      <c r="N141" s="79"/>
    </row>
    <row r="143" spans="1:14" x14ac:dyDescent="0.45">
      <c r="D143" s="87" t="s">
        <v>193</v>
      </c>
      <c r="F143" s="80">
        <v>1</v>
      </c>
      <c r="G143" s="81"/>
      <c r="H143" s="81"/>
      <c r="I143" s="82"/>
      <c r="K143" s="80"/>
      <c r="L143" s="81"/>
      <c r="M143" s="81"/>
      <c r="N143" s="82"/>
    </row>
    <row r="145" spans="1:14" x14ac:dyDescent="0.45">
      <c r="D145" s="87" t="s">
        <v>190</v>
      </c>
      <c r="F145" s="71">
        <f>SUM(I135:I141)</f>
        <v>0.255</v>
      </c>
      <c r="G145" s="72"/>
      <c r="H145" s="72"/>
      <c r="I145" s="73"/>
      <c r="K145" s="71">
        <f>SUM(N135:N141)</f>
        <v>0</v>
      </c>
      <c r="L145" s="72"/>
      <c r="M145" s="72"/>
      <c r="N145" s="73"/>
    </row>
    <row r="146" spans="1:14" x14ac:dyDescent="0.45">
      <c r="D146" s="87" t="s">
        <v>191</v>
      </c>
      <c r="F146" s="71">
        <f>IF(F145&lt;&gt;0,1/F145,"")</f>
        <v>3.9215686274509802</v>
      </c>
      <c r="G146" s="72"/>
      <c r="H146" s="72"/>
      <c r="I146" s="73"/>
      <c r="K146" s="71" t="str">
        <f>IF(K145&lt;&gt;0,1/K145,"")</f>
        <v/>
      </c>
      <c r="L146" s="72"/>
      <c r="M146" s="72"/>
      <c r="N146" s="73"/>
    </row>
    <row r="148" spans="1:14" x14ac:dyDescent="0.45">
      <c r="A148" s="87" t="s">
        <v>169</v>
      </c>
      <c r="B148" s="74">
        <v>12</v>
      </c>
      <c r="D148" s="87" t="s">
        <v>178</v>
      </c>
      <c r="F148" s="79"/>
      <c r="G148" s="79"/>
      <c r="H148" s="79"/>
      <c r="I148" s="79"/>
      <c r="K148" s="79"/>
      <c r="L148" s="79"/>
      <c r="M148" s="79"/>
      <c r="N148" s="79"/>
    </row>
    <row r="149" spans="1:14" x14ac:dyDescent="0.45">
      <c r="A149" s="87" t="s">
        <v>170</v>
      </c>
      <c r="B149" s="79"/>
      <c r="D149" s="87" t="s">
        <v>173</v>
      </c>
      <c r="F149" s="79"/>
      <c r="G149" s="79"/>
      <c r="H149" s="79"/>
      <c r="I149" s="79"/>
      <c r="K149" s="79"/>
      <c r="L149" s="79"/>
      <c r="M149" s="79"/>
      <c r="N149" s="79"/>
    </row>
    <row r="150" spans="1:14" ht="20.25" x14ac:dyDescent="0.45">
      <c r="A150" s="87" t="s">
        <v>192</v>
      </c>
      <c r="B150" s="74" t="str">
        <f>IF(AND(F156="",K156=""),"",IF(F156&lt;&gt;"",F159*F156)+IF(K156&lt;&gt;"",K159*K156,0))</f>
        <v/>
      </c>
      <c r="D150" s="87" t="s">
        <v>174</v>
      </c>
      <c r="F150" s="79"/>
      <c r="G150" s="79"/>
      <c r="H150" s="79"/>
      <c r="I150" s="79"/>
      <c r="K150" s="79"/>
      <c r="L150" s="79"/>
      <c r="M150" s="79"/>
      <c r="N150" s="79"/>
    </row>
    <row r="151" spans="1:14" x14ac:dyDescent="0.45">
      <c r="D151" s="87" t="s">
        <v>175</v>
      </c>
      <c r="F151" s="79"/>
      <c r="G151" s="79"/>
      <c r="H151" s="79"/>
      <c r="I151" s="79"/>
      <c r="K151" s="79"/>
      <c r="L151" s="79"/>
      <c r="M151" s="79"/>
      <c r="N151" s="79"/>
    </row>
    <row r="152" spans="1:14" x14ac:dyDescent="0.45">
      <c r="D152" s="87" t="s">
        <v>176</v>
      </c>
      <c r="F152" s="79"/>
      <c r="G152" s="79"/>
      <c r="H152" s="79"/>
      <c r="I152" s="79"/>
      <c r="K152" s="79"/>
      <c r="L152" s="79"/>
      <c r="M152" s="79"/>
      <c r="N152" s="79"/>
    </row>
    <row r="153" spans="1:14" x14ac:dyDescent="0.45">
      <c r="D153" s="87" t="s">
        <v>177</v>
      </c>
      <c r="F153" s="79"/>
      <c r="G153" s="79"/>
      <c r="H153" s="79"/>
      <c r="I153" s="79"/>
      <c r="K153" s="79"/>
      <c r="L153" s="79"/>
      <c r="M153" s="79"/>
      <c r="N153" s="79"/>
    </row>
    <row r="154" spans="1:14" x14ac:dyDescent="0.45">
      <c r="D154" s="87" t="s">
        <v>179</v>
      </c>
      <c r="F154" s="79"/>
      <c r="G154" s="79"/>
      <c r="H154" s="79"/>
      <c r="I154" s="79"/>
      <c r="K154" s="79"/>
      <c r="L154" s="79"/>
      <c r="M154" s="79"/>
      <c r="N154" s="79"/>
    </row>
    <row r="156" spans="1:14" x14ac:dyDescent="0.45">
      <c r="D156" s="87" t="s">
        <v>193</v>
      </c>
      <c r="F156" s="80"/>
      <c r="G156" s="81"/>
      <c r="H156" s="81"/>
      <c r="I156" s="82"/>
      <c r="K156" s="80"/>
      <c r="L156" s="81"/>
      <c r="M156" s="81"/>
      <c r="N156" s="82"/>
    </row>
    <row r="158" spans="1:14" x14ac:dyDescent="0.45">
      <c r="D158" s="87" t="s">
        <v>190</v>
      </c>
      <c r="F158" s="71">
        <f>SUM(I148:I154)</f>
        <v>0</v>
      </c>
      <c r="G158" s="72"/>
      <c r="H158" s="72"/>
      <c r="I158" s="73"/>
      <c r="K158" s="71">
        <f>SUM(N148:N154)</f>
        <v>0</v>
      </c>
      <c r="L158" s="72"/>
      <c r="M158" s="72"/>
      <c r="N158" s="73"/>
    </row>
    <row r="159" spans="1:14" x14ac:dyDescent="0.45">
      <c r="D159" s="87" t="s">
        <v>191</v>
      </c>
      <c r="F159" s="71" t="str">
        <f>IF(F158&lt;&gt;0,1/F158,"")</f>
        <v/>
      </c>
      <c r="G159" s="72"/>
      <c r="H159" s="72"/>
      <c r="I159" s="73"/>
      <c r="K159" s="71" t="str">
        <f>IF(K158&lt;&gt;0,1/K158,"")</f>
        <v/>
      </c>
      <c r="L159" s="72"/>
      <c r="M159" s="72"/>
      <c r="N159" s="73"/>
    </row>
    <row r="161" spans="1:14" x14ac:dyDescent="0.45">
      <c r="A161" s="87" t="s">
        <v>169</v>
      </c>
      <c r="B161" s="74">
        <v>13</v>
      </c>
      <c r="D161" s="87" t="s">
        <v>178</v>
      </c>
      <c r="F161" s="79"/>
      <c r="G161" s="79"/>
      <c r="H161" s="79"/>
      <c r="I161" s="79"/>
      <c r="K161" s="79"/>
      <c r="L161" s="79"/>
      <c r="M161" s="79"/>
      <c r="N161" s="79"/>
    </row>
    <row r="162" spans="1:14" x14ac:dyDescent="0.45">
      <c r="A162" s="87" t="s">
        <v>170</v>
      </c>
      <c r="B162" s="79"/>
      <c r="D162" s="87" t="s">
        <v>173</v>
      </c>
      <c r="F162" s="79"/>
      <c r="G162" s="79"/>
      <c r="H162" s="79"/>
      <c r="I162" s="79"/>
      <c r="K162" s="79"/>
      <c r="L162" s="79"/>
      <c r="M162" s="79"/>
      <c r="N162" s="79"/>
    </row>
    <row r="163" spans="1:14" ht="20.25" x14ac:dyDescent="0.45">
      <c r="A163" s="87" t="s">
        <v>192</v>
      </c>
      <c r="B163" s="74" t="str">
        <f>IF(AND(F169="",K169=""),"",IF(F169&lt;&gt;"",F172*F169)+IF(K169&lt;&gt;"",K172*K169,0))</f>
        <v/>
      </c>
      <c r="D163" s="87" t="s">
        <v>174</v>
      </c>
      <c r="F163" s="79"/>
      <c r="G163" s="79"/>
      <c r="H163" s="79"/>
      <c r="I163" s="79"/>
      <c r="K163" s="79"/>
      <c r="L163" s="79"/>
      <c r="M163" s="79"/>
      <c r="N163" s="79"/>
    </row>
    <row r="164" spans="1:14" x14ac:dyDescent="0.45">
      <c r="D164" s="87" t="s">
        <v>175</v>
      </c>
      <c r="F164" s="79"/>
      <c r="G164" s="79"/>
      <c r="H164" s="79"/>
      <c r="I164" s="79"/>
      <c r="K164" s="79"/>
      <c r="L164" s="79"/>
      <c r="M164" s="79"/>
      <c r="N164" s="79"/>
    </row>
    <row r="165" spans="1:14" x14ac:dyDescent="0.45">
      <c r="D165" s="87" t="s">
        <v>176</v>
      </c>
      <c r="F165" s="79"/>
      <c r="G165" s="79"/>
      <c r="H165" s="79"/>
      <c r="I165" s="79"/>
      <c r="K165" s="79"/>
      <c r="L165" s="79"/>
      <c r="M165" s="79"/>
      <c r="N165" s="79"/>
    </row>
    <row r="166" spans="1:14" x14ac:dyDescent="0.45">
      <c r="D166" s="87" t="s">
        <v>177</v>
      </c>
      <c r="F166" s="79"/>
      <c r="G166" s="79"/>
      <c r="H166" s="79"/>
      <c r="I166" s="79"/>
      <c r="K166" s="79"/>
      <c r="L166" s="79"/>
      <c r="M166" s="79"/>
      <c r="N166" s="79"/>
    </row>
    <row r="167" spans="1:14" x14ac:dyDescent="0.45">
      <c r="D167" s="87" t="s">
        <v>179</v>
      </c>
      <c r="F167" s="79"/>
      <c r="G167" s="79"/>
      <c r="H167" s="79"/>
      <c r="I167" s="79"/>
      <c r="K167" s="79"/>
      <c r="L167" s="79"/>
      <c r="M167" s="79"/>
      <c r="N167" s="79"/>
    </row>
    <row r="169" spans="1:14" x14ac:dyDescent="0.45">
      <c r="D169" s="87" t="s">
        <v>193</v>
      </c>
      <c r="F169" s="80"/>
      <c r="G169" s="81"/>
      <c r="H169" s="81"/>
      <c r="I169" s="82"/>
      <c r="K169" s="80"/>
      <c r="L169" s="81"/>
      <c r="M169" s="81"/>
      <c r="N169" s="82"/>
    </row>
    <row r="171" spans="1:14" x14ac:dyDescent="0.45">
      <c r="D171" s="87" t="s">
        <v>190</v>
      </c>
      <c r="F171" s="71">
        <f>SUM(I161:I167)</f>
        <v>0</v>
      </c>
      <c r="G171" s="72"/>
      <c r="H171" s="72"/>
      <c r="I171" s="73"/>
      <c r="K171" s="71">
        <f>SUM(N161:N167)</f>
        <v>0</v>
      </c>
      <c r="L171" s="72"/>
      <c r="M171" s="72"/>
      <c r="N171" s="73"/>
    </row>
    <row r="172" spans="1:14" x14ac:dyDescent="0.45">
      <c r="D172" s="87" t="s">
        <v>191</v>
      </c>
      <c r="F172" s="71" t="str">
        <f>IF(F171&lt;&gt;0,1/F171,"")</f>
        <v/>
      </c>
      <c r="G172" s="72"/>
      <c r="H172" s="72"/>
      <c r="I172" s="73"/>
      <c r="K172" s="71" t="str">
        <f>IF(K171&lt;&gt;0,1/K171,"")</f>
        <v/>
      </c>
      <c r="L172" s="72"/>
      <c r="M172" s="72"/>
      <c r="N172" s="73"/>
    </row>
    <row r="174" spans="1:14" x14ac:dyDescent="0.45">
      <c r="A174" s="87" t="s">
        <v>169</v>
      </c>
      <c r="B174" s="74">
        <v>14</v>
      </c>
      <c r="D174" s="87" t="s">
        <v>178</v>
      </c>
      <c r="F174" s="79"/>
      <c r="G174" s="79"/>
      <c r="H174" s="79"/>
      <c r="I174" s="79"/>
      <c r="K174" s="79"/>
      <c r="L174" s="79"/>
      <c r="M174" s="79"/>
      <c r="N174" s="79"/>
    </row>
    <row r="175" spans="1:14" x14ac:dyDescent="0.45">
      <c r="A175" s="87" t="s">
        <v>170</v>
      </c>
      <c r="B175" s="79"/>
      <c r="D175" s="87" t="s">
        <v>173</v>
      </c>
      <c r="F175" s="79"/>
      <c r="G175" s="79"/>
      <c r="H175" s="79"/>
      <c r="I175" s="79"/>
      <c r="K175" s="79"/>
      <c r="L175" s="79"/>
      <c r="M175" s="79"/>
      <c r="N175" s="79"/>
    </row>
    <row r="176" spans="1:14" ht="20.25" x14ac:dyDescent="0.45">
      <c r="A176" s="87" t="s">
        <v>192</v>
      </c>
      <c r="B176" s="74" t="str">
        <f>IF(AND(F182="",K182=""),"",IF(F182&lt;&gt;"",F185*F182)+IF(K182&lt;&gt;"",K185*K182,0))</f>
        <v/>
      </c>
      <c r="D176" s="87" t="s">
        <v>174</v>
      </c>
      <c r="F176" s="79"/>
      <c r="G176" s="79"/>
      <c r="H176" s="79"/>
      <c r="I176" s="79"/>
      <c r="K176" s="79"/>
      <c r="L176" s="79"/>
      <c r="M176" s="79"/>
      <c r="N176" s="79"/>
    </row>
    <row r="177" spans="1:14" x14ac:dyDescent="0.45">
      <c r="D177" s="87" t="s">
        <v>175</v>
      </c>
      <c r="F177" s="79"/>
      <c r="G177" s="79"/>
      <c r="H177" s="79"/>
      <c r="I177" s="79"/>
      <c r="K177" s="79"/>
      <c r="L177" s="79"/>
      <c r="M177" s="79"/>
      <c r="N177" s="79"/>
    </row>
    <row r="178" spans="1:14" x14ac:dyDescent="0.45">
      <c r="D178" s="87" t="s">
        <v>176</v>
      </c>
      <c r="F178" s="79"/>
      <c r="G178" s="79"/>
      <c r="H178" s="79"/>
      <c r="I178" s="79"/>
      <c r="K178" s="79"/>
      <c r="L178" s="79"/>
      <c r="M178" s="79"/>
      <c r="N178" s="79"/>
    </row>
    <row r="179" spans="1:14" x14ac:dyDescent="0.45">
      <c r="D179" s="87" t="s">
        <v>177</v>
      </c>
      <c r="F179" s="79"/>
      <c r="G179" s="79"/>
      <c r="H179" s="79"/>
      <c r="I179" s="79"/>
      <c r="K179" s="79"/>
      <c r="L179" s="79"/>
      <c r="M179" s="79"/>
      <c r="N179" s="79"/>
    </row>
    <row r="180" spans="1:14" x14ac:dyDescent="0.45">
      <c r="D180" s="87" t="s">
        <v>179</v>
      </c>
      <c r="F180" s="79"/>
      <c r="G180" s="79"/>
      <c r="H180" s="79"/>
      <c r="I180" s="79"/>
      <c r="K180" s="79"/>
      <c r="L180" s="79"/>
      <c r="M180" s="79"/>
      <c r="N180" s="79"/>
    </row>
    <row r="182" spans="1:14" x14ac:dyDescent="0.45">
      <c r="D182" s="87" t="s">
        <v>193</v>
      </c>
      <c r="F182" s="80"/>
      <c r="G182" s="81"/>
      <c r="H182" s="81"/>
      <c r="I182" s="82"/>
      <c r="K182" s="80"/>
      <c r="L182" s="81"/>
      <c r="M182" s="81"/>
      <c r="N182" s="82"/>
    </row>
    <row r="184" spans="1:14" x14ac:dyDescent="0.45">
      <c r="D184" s="87" t="s">
        <v>190</v>
      </c>
      <c r="F184" s="71">
        <f>SUM(I174:I180)</f>
        <v>0</v>
      </c>
      <c r="G184" s="72"/>
      <c r="H184" s="72"/>
      <c r="I184" s="73"/>
      <c r="K184" s="71">
        <f>SUM(N174:N180)</f>
        <v>0</v>
      </c>
      <c r="L184" s="72"/>
      <c r="M184" s="72"/>
      <c r="N184" s="73"/>
    </row>
    <row r="185" spans="1:14" x14ac:dyDescent="0.45">
      <c r="D185" s="87" t="s">
        <v>191</v>
      </c>
      <c r="F185" s="71" t="str">
        <f>IF(F184&lt;&gt;0,1/F184,"")</f>
        <v/>
      </c>
      <c r="G185" s="72"/>
      <c r="H185" s="72"/>
      <c r="I185" s="73"/>
      <c r="K185" s="71" t="str">
        <f>IF(K184&lt;&gt;0,1/K184,"")</f>
        <v/>
      </c>
      <c r="L185" s="72"/>
      <c r="M185" s="72"/>
      <c r="N185" s="73"/>
    </row>
    <row r="187" spans="1:14" x14ac:dyDescent="0.45">
      <c r="A187" s="87" t="s">
        <v>169</v>
      </c>
      <c r="B187" s="74">
        <v>15</v>
      </c>
      <c r="D187" s="87" t="s">
        <v>178</v>
      </c>
      <c r="F187" s="79"/>
      <c r="G187" s="79"/>
      <c r="H187" s="79"/>
      <c r="I187" s="79"/>
      <c r="K187" s="79"/>
      <c r="L187" s="79"/>
      <c r="M187" s="79"/>
      <c r="N187" s="79"/>
    </row>
    <row r="188" spans="1:14" x14ac:dyDescent="0.45">
      <c r="A188" s="87" t="s">
        <v>170</v>
      </c>
      <c r="B188" s="79"/>
      <c r="D188" s="87" t="s">
        <v>173</v>
      </c>
      <c r="F188" s="79"/>
      <c r="G188" s="79"/>
      <c r="H188" s="79"/>
      <c r="I188" s="79"/>
      <c r="K188" s="79"/>
      <c r="L188" s="79"/>
      <c r="M188" s="79"/>
      <c r="N188" s="79"/>
    </row>
    <row r="189" spans="1:14" ht="20.25" x14ac:dyDescent="0.45">
      <c r="A189" s="87" t="s">
        <v>192</v>
      </c>
      <c r="B189" s="74" t="str">
        <f>IF(AND(F195="",K195=""),"",IF(F195&lt;&gt;"",F198*F195)+IF(K195&lt;&gt;"",K198*K195,0))</f>
        <v/>
      </c>
      <c r="D189" s="87" t="s">
        <v>174</v>
      </c>
      <c r="F189" s="79"/>
      <c r="G189" s="79"/>
      <c r="H189" s="79"/>
      <c r="I189" s="79"/>
      <c r="K189" s="79"/>
      <c r="L189" s="79"/>
      <c r="M189" s="79"/>
      <c r="N189" s="79"/>
    </row>
    <row r="190" spans="1:14" x14ac:dyDescent="0.45">
      <c r="D190" s="87" t="s">
        <v>175</v>
      </c>
      <c r="F190" s="79"/>
      <c r="G190" s="79"/>
      <c r="H190" s="79"/>
      <c r="I190" s="79"/>
      <c r="K190" s="79"/>
      <c r="L190" s="79"/>
      <c r="M190" s="79"/>
      <c r="N190" s="79"/>
    </row>
    <row r="191" spans="1:14" x14ac:dyDescent="0.45">
      <c r="D191" s="87" t="s">
        <v>176</v>
      </c>
      <c r="F191" s="79"/>
      <c r="G191" s="79"/>
      <c r="H191" s="79"/>
      <c r="I191" s="79"/>
      <c r="K191" s="79"/>
      <c r="L191" s="79"/>
      <c r="M191" s="79"/>
      <c r="N191" s="79"/>
    </row>
    <row r="192" spans="1:14" x14ac:dyDescent="0.45">
      <c r="D192" s="87" t="s">
        <v>177</v>
      </c>
      <c r="F192" s="79"/>
      <c r="G192" s="79"/>
      <c r="H192" s="79"/>
      <c r="I192" s="79"/>
      <c r="K192" s="79"/>
      <c r="L192" s="79"/>
      <c r="M192" s="79"/>
      <c r="N192" s="79"/>
    </row>
    <row r="193" spans="4:14" x14ac:dyDescent="0.45">
      <c r="D193" s="87" t="s">
        <v>179</v>
      </c>
      <c r="F193" s="79"/>
      <c r="G193" s="79"/>
      <c r="H193" s="79"/>
      <c r="I193" s="79"/>
      <c r="K193" s="79"/>
      <c r="L193" s="79"/>
      <c r="M193" s="79"/>
      <c r="N193" s="79"/>
    </row>
    <row r="195" spans="4:14" x14ac:dyDescent="0.45">
      <c r="D195" s="87" t="s">
        <v>193</v>
      </c>
      <c r="F195" s="80"/>
      <c r="G195" s="81"/>
      <c r="H195" s="81"/>
      <c r="I195" s="82"/>
      <c r="K195" s="80"/>
      <c r="L195" s="81"/>
      <c r="M195" s="81"/>
      <c r="N195" s="82"/>
    </row>
    <row r="197" spans="4:14" x14ac:dyDescent="0.45">
      <c r="D197" s="87" t="s">
        <v>190</v>
      </c>
      <c r="F197" s="71">
        <f>SUM(I187:I193)</f>
        <v>0</v>
      </c>
      <c r="G197" s="72"/>
      <c r="H197" s="72"/>
      <c r="I197" s="73"/>
      <c r="K197" s="71">
        <f>SUM(N187:N193)</f>
        <v>0</v>
      </c>
      <c r="L197" s="72"/>
      <c r="M197" s="72"/>
      <c r="N197" s="73"/>
    </row>
    <row r="198" spans="4:14" x14ac:dyDescent="0.45">
      <c r="D198" s="87" t="s">
        <v>191</v>
      </c>
      <c r="F198" s="71" t="str">
        <f>IF(F197&lt;&gt;0,1/F197,"")</f>
        <v/>
      </c>
      <c r="G198" s="72"/>
      <c r="H198" s="72"/>
      <c r="I198" s="73"/>
      <c r="K198" s="71" t="str">
        <f>IF(K197&lt;&gt;0,1/K197,"")</f>
        <v/>
      </c>
      <c r="L198" s="72"/>
      <c r="M198" s="72"/>
      <c r="N198" s="73"/>
    </row>
  </sheetData>
  <mergeCells count="92">
    <mergeCell ref="F195:I195"/>
    <mergeCell ref="K195:N195"/>
    <mergeCell ref="F197:I197"/>
    <mergeCell ref="K197:N197"/>
    <mergeCell ref="F198:I198"/>
    <mergeCell ref="K198:N198"/>
    <mergeCell ref="F182:I182"/>
    <mergeCell ref="K182:N182"/>
    <mergeCell ref="F184:I184"/>
    <mergeCell ref="K184:N184"/>
    <mergeCell ref="F185:I185"/>
    <mergeCell ref="K185:N185"/>
    <mergeCell ref="F169:I169"/>
    <mergeCell ref="K169:N169"/>
    <mergeCell ref="F171:I171"/>
    <mergeCell ref="K171:N171"/>
    <mergeCell ref="F172:I172"/>
    <mergeCell ref="K172:N172"/>
    <mergeCell ref="F156:I156"/>
    <mergeCell ref="K156:N156"/>
    <mergeCell ref="F158:I158"/>
    <mergeCell ref="K158:N158"/>
    <mergeCell ref="F159:I159"/>
    <mergeCell ref="K159:N159"/>
    <mergeCell ref="F143:I143"/>
    <mergeCell ref="K143:N143"/>
    <mergeCell ref="F145:I145"/>
    <mergeCell ref="K145:N145"/>
    <mergeCell ref="F146:I146"/>
    <mergeCell ref="K146:N146"/>
    <mergeCell ref="F130:I130"/>
    <mergeCell ref="K130:N130"/>
    <mergeCell ref="F132:I132"/>
    <mergeCell ref="K132:N132"/>
    <mergeCell ref="F133:I133"/>
    <mergeCell ref="K133:N133"/>
    <mergeCell ref="F117:I117"/>
    <mergeCell ref="K117:N117"/>
    <mergeCell ref="F119:I119"/>
    <mergeCell ref="K119:N119"/>
    <mergeCell ref="F120:I120"/>
    <mergeCell ref="K120:N120"/>
    <mergeCell ref="F104:I104"/>
    <mergeCell ref="K104:N104"/>
    <mergeCell ref="F106:I106"/>
    <mergeCell ref="K106:N106"/>
    <mergeCell ref="F107:I107"/>
    <mergeCell ref="K107:N107"/>
    <mergeCell ref="F91:I91"/>
    <mergeCell ref="K91:N91"/>
    <mergeCell ref="F93:I93"/>
    <mergeCell ref="K93:N93"/>
    <mergeCell ref="F94:I94"/>
    <mergeCell ref="K94:N94"/>
    <mergeCell ref="F78:I78"/>
    <mergeCell ref="K78:N78"/>
    <mergeCell ref="F80:I80"/>
    <mergeCell ref="K80:N80"/>
    <mergeCell ref="F81:I81"/>
    <mergeCell ref="K81:N81"/>
    <mergeCell ref="F65:I65"/>
    <mergeCell ref="K65:N65"/>
    <mergeCell ref="F67:I67"/>
    <mergeCell ref="K67:N67"/>
    <mergeCell ref="F68:I68"/>
    <mergeCell ref="K68:N68"/>
    <mergeCell ref="F52:I52"/>
    <mergeCell ref="K52:N52"/>
    <mergeCell ref="F54:I54"/>
    <mergeCell ref="K54:N54"/>
    <mergeCell ref="F55:I55"/>
    <mergeCell ref="K55:N55"/>
    <mergeCell ref="F39:I39"/>
    <mergeCell ref="K39:N39"/>
    <mergeCell ref="F41:I41"/>
    <mergeCell ref="K41:N41"/>
    <mergeCell ref="F42:I42"/>
    <mergeCell ref="K42:N42"/>
    <mergeCell ref="F26:I26"/>
    <mergeCell ref="K26:N26"/>
    <mergeCell ref="F28:I28"/>
    <mergeCell ref="K28:N28"/>
    <mergeCell ref="F29:I29"/>
    <mergeCell ref="K29:N29"/>
    <mergeCell ref="F1:I1"/>
    <mergeCell ref="K1:N1"/>
    <mergeCell ref="F13:I13"/>
    <mergeCell ref="K13:N13"/>
    <mergeCell ref="F15:I15"/>
    <mergeCell ref="F16:I16"/>
    <mergeCell ref="K15:N15"/>
    <mergeCell ref="K16:N16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5" sqref="H15"/>
    </sheetView>
  </sheetViews>
  <sheetFormatPr defaultRowHeight="18.75" x14ac:dyDescent="0.45"/>
  <cols>
    <col min="1" max="1" width="17" style="1" bestFit="1" customWidth="1"/>
    <col min="2" max="2" width="20.625" style="1" bestFit="1" customWidth="1"/>
    <col min="3" max="3" width="5.5" style="1" bestFit="1" customWidth="1"/>
    <col min="4" max="5" width="12.875" style="1" bestFit="1" customWidth="1"/>
    <col min="6" max="6" width="12" style="1" bestFit="1" customWidth="1"/>
    <col min="7" max="8" width="12.875" style="1" bestFit="1" customWidth="1"/>
    <col min="9" max="16384" width="9" style="1"/>
  </cols>
  <sheetData>
    <row r="1" spans="1:8" ht="31.5" x14ac:dyDescent="0.45">
      <c r="A1" s="69" t="s">
        <v>9</v>
      </c>
      <c r="B1" s="69" t="s">
        <v>10</v>
      </c>
      <c r="C1" s="14" t="s">
        <v>4</v>
      </c>
      <c r="D1" s="37" t="s">
        <v>212</v>
      </c>
      <c r="E1" s="37" t="s">
        <v>211</v>
      </c>
      <c r="F1" s="90" t="s">
        <v>210</v>
      </c>
      <c r="G1" s="5" t="s">
        <v>213</v>
      </c>
      <c r="H1" s="5" t="s">
        <v>214</v>
      </c>
    </row>
    <row r="2" spans="1:8" ht="19.5" thickBot="1" x14ac:dyDescent="0.5">
      <c r="A2" s="70"/>
      <c r="B2" s="70"/>
      <c r="C2" s="15" t="s">
        <v>45</v>
      </c>
      <c r="D2" s="38" t="s">
        <v>40</v>
      </c>
      <c r="E2" s="38" t="s">
        <v>40</v>
      </c>
      <c r="F2" s="91" t="s">
        <v>40</v>
      </c>
      <c r="G2" s="9" t="s">
        <v>38</v>
      </c>
      <c r="H2" s="9" t="s">
        <v>38</v>
      </c>
    </row>
    <row r="3" spans="1:8" x14ac:dyDescent="0.45">
      <c r="A3" s="16" t="s">
        <v>150</v>
      </c>
      <c r="B3" s="16" t="s">
        <v>151</v>
      </c>
      <c r="C3" s="16"/>
      <c r="D3" s="88"/>
      <c r="E3" s="88"/>
      <c r="F3" s="88"/>
      <c r="G3" s="88"/>
      <c r="H3" s="88"/>
    </row>
    <row r="4" spans="1:8" x14ac:dyDescent="0.45">
      <c r="A4" s="21" t="s">
        <v>152</v>
      </c>
      <c r="B4" s="21" t="s">
        <v>151</v>
      </c>
      <c r="C4" s="27"/>
      <c r="D4" s="89"/>
      <c r="E4" s="89"/>
      <c r="F4" s="89"/>
      <c r="G4" s="89"/>
      <c r="H4" s="89"/>
    </row>
    <row r="5" spans="1:8" x14ac:dyDescent="0.45">
      <c r="A5" s="21" t="s">
        <v>154</v>
      </c>
      <c r="B5" s="21" t="s">
        <v>151</v>
      </c>
      <c r="C5" s="27"/>
      <c r="D5" s="89"/>
      <c r="E5" s="89"/>
      <c r="F5" s="89"/>
      <c r="G5" s="89"/>
      <c r="H5" s="89"/>
    </row>
    <row r="6" spans="1:8" x14ac:dyDescent="0.45">
      <c r="A6" s="21" t="s">
        <v>147</v>
      </c>
      <c r="B6" s="21" t="s">
        <v>151</v>
      </c>
      <c r="C6" s="27"/>
      <c r="D6" s="89"/>
      <c r="E6" s="89"/>
      <c r="F6" s="89"/>
      <c r="G6" s="89"/>
      <c r="H6" s="89"/>
    </row>
    <row r="7" spans="1:8" x14ac:dyDescent="0.45">
      <c r="A7" s="21" t="s">
        <v>146</v>
      </c>
      <c r="B7" s="21" t="s">
        <v>151</v>
      </c>
      <c r="C7" s="27"/>
      <c r="D7" s="89"/>
      <c r="E7" s="89"/>
      <c r="F7" s="89"/>
      <c r="G7" s="89"/>
      <c r="H7" s="89"/>
    </row>
    <row r="8" spans="1:8" x14ac:dyDescent="0.45">
      <c r="A8" s="21" t="s">
        <v>114</v>
      </c>
      <c r="B8" s="21" t="s">
        <v>151</v>
      </c>
      <c r="C8" s="27"/>
      <c r="D8" s="89"/>
      <c r="E8" s="89"/>
      <c r="F8" s="89"/>
      <c r="G8" s="89"/>
      <c r="H8" s="89"/>
    </row>
    <row r="9" spans="1:8" x14ac:dyDescent="0.45">
      <c r="A9" s="21" t="s">
        <v>122</v>
      </c>
      <c r="B9" s="21" t="s">
        <v>151</v>
      </c>
      <c r="C9" s="27"/>
      <c r="D9" s="89"/>
      <c r="E9" s="89"/>
      <c r="F9" s="89"/>
      <c r="G9" s="89"/>
      <c r="H9" s="89"/>
    </row>
    <row r="10" spans="1:8" x14ac:dyDescent="0.45">
      <c r="A10" s="21" t="s">
        <v>153</v>
      </c>
      <c r="B10" s="21" t="s">
        <v>151</v>
      </c>
      <c r="C10" s="27"/>
      <c r="D10" s="89"/>
      <c r="E10" s="89"/>
      <c r="F10" s="89"/>
      <c r="G10" s="89"/>
      <c r="H10" s="89"/>
    </row>
    <row r="11" spans="1:8" x14ac:dyDescent="0.45">
      <c r="A11" s="21" t="s">
        <v>126</v>
      </c>
      <c r="B11" s="21" t="s">
        <v>151</v>
      </c>
      <c r="C11" s="27"/>
      <c r="D11" s="89"/>
      <c r="E11" s="89"/>
      <c r="F11" s="89"/>
      <c r="G11" s="89"/>
      <c r="H11" s="89"/>
    </row>
    <row r="12" spans="1:8" x14ac:dyDescent="0.45">
      <c r="A12" s="21" t="s">
        <v>129</v>
      </c>
      <c r="B12" s="21" t="s">
        <v>151</v>
      </c>
      <c r="C12" s="27"/>
      <c r="D12" s="89"/>
      <c r="E12" s="89"/>
      <c r="F12" s="89"/>
      <c r="G12" s="89"/>
      <c r="H12" s="89"/>
    </row>
  </sheetData>
  <mergeCells count="2">
    <mergeCell ref="A1:A2"/>
    <mergeCell ref="B1:B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合計</vt:lpstr>
      <vt:lpstr>不透明部位（窓以外・戸を含む）</vt:lpstr>
      <vt:lpstr>透明部位（窓）</vt:lpstr>
      <vt:lpstr>地盤熱橋</vt:lpstr>
      <vt:lpstr>断面構成リスト</vt:lpstr>
      <vt:lpstr>断面構成詳細</vt:lpstr>
      <vt:lpstr>日除け効果係数</vt:lpstr>
      <vt:lpstr>合計!Print_Area</vt:lpstr>
      <vt:lpstr>'不透明部位（窓以外・戸を含む）'!Print_Area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2015-05-02T04:41:41Z</dcterms:modified>
</cp:coreProperties>
</file>