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560" activeTab="1"/>
  </bookViews>
  <sheets>
    <sheet name="合計" sheetId="4" r:id="rId1"/>
    <sheet name="不透明な部位（窓以外・ドアを含む）" sheetId="1" r:id="rId2"/>
    <sheet name="透明な部位（窓）" sheetId="3" r:id="rId3"/>
    <sheet name="地盤" sheetId="2" r:id="rId4"/>
    <sheet name="断面構成リスト" sheetId="6" r:id="rId5"/>
    <sheet name="断面構成詳細" sheetId="7" r:id="rId6"/>
    <sheet name="日除け効果係数" sheetId="8" r:id="rId7"/>
    <sheet name="グラフ" sheetId="9" r:id="rId8"/>
  </sheets>
  <definedNames>
    <definedName name="_xlnm._FilterDatabase" localSheetId="1" hidden="1">'不透明な部位（窓以外・ドアを含む）'!$D$2:$D$107</definedName>
    <definedName name="_xlnm.Print_Area" localSheetId="0">合計!$A$1:$I$21</definedName>
    <definedName name="_xlnm.Print_Area" localSheetId="1">'不透明な部位（窓以外・ドアを含む）'!$A$1:$AG$107</definedName>
    <definedName name="_xlnm.Print_Titles" localSheetId="5">断面構成詳細!$1:$3</definedName>
  </definedNames>
  <calcPr calcId="152511"/>
</workbook>
</file>

<file path=xl/calcChain.xml><?xml version="1.0" encoding="utf-8"?>
<calcChain xmlns="http://schemas.openxmlformats.org/spreadsheetml/2006/main">
  <c r="AJ52" i="1" l="1"/>
  <c r="AI52" i="1"/>
  <c r="AH52" i="1"/>
  <c r="AK52" i="1" s="1"/>
  <c r="G22" i="9" l="1"/>
  <c r="E22" i="9"/>
  <c r="M20" i="9"/>
  <c r="I20" i="9"/>
  <c r="K20" i="9" s="1"/>
  <c r="C7" i="9"/>
  <c r="C6" i="9"/>
  <c r="C5" i="9"/>
  <c r="C4" i="9"/>
  <c r="AE37" i="3" l="1"/>
  <c r="U37" i="3"/>
  <c r="AE15" i="3"/>
  <c r="AE14" i="3"/>
  <c r="AE13" i="3"/>
  <c r="AE12" i="3"/>
  <c r="AE11" i="3"/>
  <c r="AE10" i="3"/>
  <c r="AE9" i="3"/>
  <c r="AE8" i="3"/>
  <c r="AE7" i="3"/>
  <c r="AE6" i="3"/>
  <c r="U15" i="3"/>
  <c r="U14" i="3"/>
  <c r="U13" i="3"/>
  <c r="U12" i="3"/>
  <c r="U11" i="3"/>
  <c r="U10" i="3"/>
  <c r="U9" i="3"/>
  <c r="U8" i="3"/>
  <c r="U7" i="3"/>
  <c r="U6" i="3"/>
  <c r="Y15" i="3"/>
  <c r="Y14" i="3"/>
  <c r="Y13" i="3"/>
  <c r="Y12" i="3"/>
  <c r="Y11" i="3"/>
  <c r="Y10" i="3"/>
  <c r="Y9" i="3"/>
  <c r="Y8" i="3"/>
  <c r="Y7" i="3"/>
  <c r="Y6" i="3"/>
  <c r="O15" i="3"/>
  <c r="O14" i="3"/>
  <c r="O13" i="3"/>
  <c r="O12" i="3"/>
  <c r="O11" i="3"/>
  <c r="O10" i="3"/>
  <c r="O9" i="3"/>
  <c r="O8" i="3"/>
  <c r="O7" i="3"/>
  <c r="O6" i="3"/>
  <c r="H3" i="8"/>
  <c r="H5" i="8"/>
  <c r="H6" i="8"/>
  <c r="H7" i="8"/>
  <c r="H8" i="8"/>
  <c r="H9" i="8"/>
  <c r="H10" i="8"/>
  <c r="H11" i="8"/>
  <c r="H12" i="8"/>
  <c r="H4" i="8"/>
  <c r="G3" i="8"/>
  <c r="G12" i="8"/>
  <c r="G11" i="8"/>
  <c r="G10" i="8"/>
  <c r="G9" i="8"/>
  <c r="G8" i="8"/>
  <c r="G7" i="8"/>
  <c r="G6" i="8"/>
  <c r="G5" i="8"/>
  <c r="G4" i="8"/>
  <c r="AA8" i="3"/>
  <c r="AA9" i="3"/>
  <c r="AA10" i="3"/>
  <c r="AA11" i="3"/>
  <c r="AA12" i="3"/>
  <c r="AA13" i="3"/>
  <c r="AA14" i="3"/>
  <c r="AA15" i="3"/>
  <c r="AA7" i="3"/>
  <c r="AA6" i="3"/>
  <c r="Q15" i="3"/>
  <c r="Q14" i="3"/>
  <c r="Q13" i="3"/>
  <c r="Q12" i="3"/>
  <c r="Q11" i="3"/>
  <c r="Q10" i="3"/>
  <c r="Q9" i="3"/>
  <c r="Q8" i="3"/>
  <c r="Q7" i="3"/>
  <c r="Q6" i="3"/>
  <c r="AF6" i="1"/>
  <c r="X6" i="1"/>
  <c r="B7" i="7"/>
  <c r="B20" i="7"/>
  <c r="B33" i="7"/>
  <c r="B46" i="7"/>
  <c r="B59" i="7"/>
  <c r="B72" i="7"/>
  <c r="B85" i="7"/>
  <c r="V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6" i="1"/>
  <c r="T7" i="1"/>
  <c r="X7" i="1" s="1"/>
  <c r="T8" i="1"/>
  <c r="T9" i="1"/>
  <c r="X9" i="1" s="1"/>
  <c r="T10" i="1"/>
  <c r="T11" i="1"/>
  <c r="T12" i="1"/>
  <c r="T13" i="1"/>
  <c r="X13" i="1" s="1"/>
  <c r="T14" i="1"/>
  <c r="T15" i="1"/>
  <c r="T16" i="1"/>
  <c r="T17" i="1"/>
  <c r="X17" i="1" s="1"/>
  <c r="T18" i="1"/>
  <c r="T19" i="1"/>
  <c r="T20" i="1"/>
  <c r="T21" i="1"/>
  <c r="X21" i="1" s="1"/>
  <c r="T22" i="1"/>
  <c r="T23" i="1"/>
  <c r="T24" i="1"/>
  <c r="T25" i="1"/>
  <c r="X25" i="1" s="1"/>
  <c r="T26" i="1"/>
  <c r="T27" i="1"/>
  <c r="T28" i="1"/>
  <c r="T29" i="1"/>
  <c r="X29" i="1" s="1"/>
  <c r="T30" i="1"/>
  <c r="T31" i="1"/>
  <c r="T32" i="1"/>
  <c r="T33" i="1"/>
  <c r="X33" i="1" s="1"/>
  <c r="T34" i="1"/>
  <c r="T35" i="1"/>
  <c r="T36" i="1"/>
  <c r="T37" i="1"/>
  <c r="X37" i="1" s="1"/>
  <c r="T38" i="1"/>
  <c r="T39" i="1"/>
  <c r="T40" i="1"/>
  <c r="T41" i="1"/>
  <c r="X41" i="1" s="1"/>
  <c r="T42" i="1"/>
  <c r="T43" i="1"/>
  <c r="T44" i="1"/>
  <c r="T45" i="1"/>
  <c r="X45" i="1" s="1"/>
  <c r="T46" i="1"/>
  <c r="T6" i="1"/>
  <c r="Z51" i="1"/>
  <c r="Z50" i="1"/>
  <c r="Z49" i="1"/>
  <c r="Z48" i="1"/>
  <c r="Z47" i="1"/>
  <c r="Z46" i="1"/>
  <c r="AF46" i="1" s="1"/>
  <c r="Z45" i="1"/>
  <c r="Z44" i="1"/>
  <c r="AF44" i="1" s="1"/>
  <c r="Z43" i="1"/>
  <c r="AF43" i="1" s="1"/>
  <c r="Z42" i="1"/>
  <c r="AF42" i="1" s="1"/>
  <c r="Z41" i="1"/>
  <c r="Z40" i="1"/>
  <c r="AF40" i="1" s="1"/>
  <c r="Z39" i="1"/>
  <c r="AF39" i="1" s="1"/>
  <c r="Z38" i="1"/>
  <c r="AF38" i="1" s="1"/>
  <c r="Z37" i="1"/>
  <c r="Z36" i="1"/>
  <c r="AF36" i="1" s="1"/>
  <c r="Z35" i="1"/>
  <c r="AF35" i="1" s="1"/>
  <c r="Z34" i="1"/>
  <c r="AF34" i="1" s="1"/>
  <c r="Z33" i="1"/>
  <c r="Z32" i="1"/>
  <c r="AF32" i="1" s="1"/>
  <c r="Z31" i="1"/>
  <c r="AF31" i="1" s="1"/>
  <c r="Z30" i="1"/>
  <c r="AF30" i="1" s="1"/>
  <c r="Z29" i="1"/>
  <c r="Z28" i="1"/>
  <c r="AF28" i="1" s="1"/>
  <c r="Z27" i="1"/>
  <c r="AF27" i="1" s="1"/>
  <c r="Z26" i="1"/>
  <c r="AF26" i="1" s="1"/>
  <c r="Z25" i="1"/>
  <c r="Z24" i="1"/>
  <c r="AF24" i="1" s="1"/>
  <c r="Z23" i="1"/>
  <c r="AF23" i="1" s="1"/>
  <c r="Z22" i="1"/>
  <c r="AF22" i="1" s="1"/>
  <c r="Z21" i="1"/>
  <c r="Z20" i="1"/>
  <c r="AF20" i="1" s="1"/>
  <c r="Z19" i="1"/>
  <c r="AF19" i="1" s="1"/>
  <c r="Z18" i="1"/>
  <c r="AF18" i="1" s="1"/>
  <c r="Z17" i="1"/>
  <c r="Z16" i="1"/>
  <c r="AF16" i="1" s="1"/>
  <c r="Z15" i="1"/>
  <c r="AF15" i="1" s="1"/>
  <c r="Z14" i="1"/>
  <c r="AF14" i="1" s="1"/>
  <c r="Z13" i="1"/>
  <c r="Z12" i="1"/>
  <c r="AF12" i="1" s="1"/>
  <c r="Z11" i="1"/>
  <c r="AF11" i="1" s="1"/>
  <c r="Z10" i="1"/>
  <c r="AF10" i="1" s="1"/>
  <c r="Z9" i="1"/>
  <c r="Z8" i="1"/>
  <c r="AF8" i="1" s="1"/>
  <c r="Z7" i="1"/>
  <c r="AF7" i="1" s="1"/>
  <c r="Z6" i="1"/>
  <c r="R8" i="1"/>
  <c r="R9" i="1"/>
  <c r="R10" i="1"/>
  <c r="X10" i="1" s="1"/>
  <c r="R11" i="1"/>
  <c r="X11" i="1" s="1"/>
  <c r="R12" i="1"/>
  <c r="R13" i="1"/>
  <c r="R14" i="1"/>
  <c r="X14" i="1" s="1"/>
  <c r="R15" i="1"/>
  <c r="X15" i="1" s="1"/>
  <c r="R16" i="1"/>
  <c r="R17" i="1"/>
  <c r="R18" i="1"/>
  <c r="X18" i="1" s="1"/>
  <c r="R19" i="1"/>
  <c r="X19" i="1" s="1"/>
  <c r="R20" i="1"/>
  <c r="R21" i="1"/>
  <c r="R22" i="1"/>
  <c r="X22" i="1" s="1"/>
  <c r="R23" i="1"/>
  <c r="X23" i="1" s="1"/>
  <c r="R24" i="1"/>
  <c r="R25" i="1"/>
  <c r="R26" i="1"/>
  <c r="X26" i="1" s="1"/>
  <c r="R27" i="1"/>
  <c r="X27" i="1" s="1"/>
  <c r="R28" i="1"/>
  <c r="R29" i="1"/>
  <c r="R30" i="1"/>
  <c r="X30" i="1" s="1"/>
  <c r="R31" i="1"/>
  <c r="X31" i="1" s="1"/>
  <c r="R32" i="1"/>
  <c r="R33" i="1"/>
  <c r="R34" i="1"/>
  <c r="X34" i="1" s="1"/>
  <c r="R35" i="1"/>
  <c r="X35" i="1" s="1"/>
  <c r="R36" i="1"/>
  <c r="R37" i="1"/>
  <c r="R38" i="1"/>
  <c r="X38" i="1" s="1"/>
  <c r="R39" i="1"/>
  <c r="X39" i="1" s="1"/>
  <c r="R40" i="1"/>
  <c r="X40" i="1" s="1"/>
  <c r="R41" i="1"/>
  <c r="R42" i="1"/>
  <c r="X42" i="1" s="1"/>
  <c r="R43" i="1"/>
  <c r="X43" i="1" s="1"/>
  <c r="R44" i="1"/>
  <c r="X44" i="1" s="1"/>
  <c r="R45" i="1"/>
  <c r="R46" i="1"/>
  <c r="X46" i="1" s="1"/>
  <c r="R47" i="1"/>
  <c r="R48" i="1"/>
  <c r="R49" i="1"/>
  <c r="R50" i="1"/>
  <c r="R51" i="1"/>
  <c r="R7" i="1"/>
  <c r="R6" i="1"/>
  <c r="X36" i="1" l="1"/>
  <c r="X32" i="1"/>
  <c r="X28" i="1"/>
  <c r="X24" i="1"/>
  <c r="X20" i="1"/>
  <c r="X16" i="1"/>
  <c r="X12" i="1"/>
  <c r="X8" i="1"/>
  <c r="AF9" i="1"/>
  <c r="AF13" i="1"/>
  <c r="AF17" i="1"/>
  <c r="AF21" i="1"/>
  <c r="AF25" i="1"/>
  <c r="AF29" i="1"/>
  <c r="AF33" i="1"/>
  <c r="AF37" i="1"/>
  <c r="AF41" i="1"/>
  <c r="AF45" i="1"/>
  <c r="K197" i="7"/>
  <c r="K198" i="7" s="1"/>
  <c r="E16" i="6" s="1"/>
  <c r="F197" i="7"/>
  <c r="F198" i="7" s="1"/>
  <c r="D16" i="6" s="1"/>
  <c r="B189" i="7"/>
  <c r="K184" i="7"/>
  <c r="K185" i="7" s="1"/>
  <c r="E15" i="6" s="1"/>
  <c r="F184" i="7"/>
  <c r="F185" i="7" s="1"/>
  <c r="D15" i="6" s="1"/>
  <c r="B176" i="7"/>
  <c r="K171" i="7"/>
  <c r="K172" i="7" s="1"/>
  <c r="E14" i="6" s="1"/>
  <c r="F171" i="7"/>
  <c r="F172" i="7" s="1"/>
  <c r="D14" i="6" s="1"/>
  <c r="B163" i="7"/>
  <c r="F159" i="7"/>
  <c r="K158" i="7"/>
  <c r="K159" i="7" s="1"/>
  <c r="E13" i="6" s="1"/>
  <c r="F158" i="7"/>
  <c r="B150" i="7"/>
  <c r="K146" i="7"/>
  <c r="K145" i="7"/>
  <c r="I136" i="7"/>
  <c r="F145" i="7" s="1"/>
  <c r="F146" i="7" s="1"/>
  <c r="K132" i="7"/>
  <c r="K133" i="7" s="1"/>
  <c r="E11" i="6" s="1"/>
  <c r="I124" i="7"/>
  <c r="I123" i="7"/>
  <c r="F132" i="7" s="1"/>
  <c r="F133" i="7" s="1"/>
  <c r="K119" i="7"/>
  <c r="K120" i="7" s="1"/>
  <c r="E10" i="6" s="1"/>
  <c r="F119" i="7"/>
  <c r="F120" i="7" s="1"/>
  <c r="I110" i="7"/>
  <c r="K106" i="7"/>
  <c r="K107" i="7" s="1"/>
  <c r="E9" i="6" s="1"/>
  <c r="I97" i="7"/>
  <c r="F106" i="7" s="1"/>
  <c r="F107" i="7" s="1"/>
  <c r="K93" i="7"/>
  <c r="K94" i="7" s="1"/>
  <c r="E8" i="6" s="1"/>
  <c r="F93" i="7"/>
  <c r="F94" i="7" s="1"/>
  <c r="I84" i="7"/>
  <c r="F81" i="7"/>
  <c r="C7" i="6" s="1"/>
  <c r="F80" i="7"/>
  <c r="N71" i="7"/>
  <c r="K80" i="7" s="1"/>
  <c r="K81" i="7" s="1"/>
  <c r="E7" i="6" s="1"/>
  <c r="I71" i="7"/>
  <c r="K67" i="7"/>
  <c r="K68" i="7" s="1"/>
  <c r="E6" i="6" s="1"/>
  <c r="N58" i="7"/>
  <c r="I58" i="7"/>
  <c r="F67" i="7" s="1"/>
  <c r="F68" i="7" s="1"/>
  <c r="F54" i="7"/>
  <c r="F55" i="7" s="1"/>
  <c r="N45" i="7"/>
  <c r="K54" i="7" s="1"/>
  <c r="K55" i="7" s="1"/>
  <c r="E5" i="6" s="1"/>
  <c r="I45" i="7"/>
  <c r="K42" i="7"/>
  <c r="K41" i="7"/>
  <c r="N32" i="7"/>
  <c r="I32" i="7"/>
  <c r="F41" i="7" s="1"/>
  <c r="F42" i="7" s="1"/>
  <c r="F29" i="7"/>
  <c r="F28" i="7"/>
  <c r="N19" i="7"/>
  <c r="K28" i="7" s="1"/>
  <c r="K29" i="7" s="1"/>
  <c r="E3" i="6" s="1"/>
  <c r="I19" i="7"/>
  <c r="K15" i="7"/>
  <c r="K16" i="7" s="1"/>
  <c r="E2" i="6" s="1"/>
  <c r="N6" i="7"/>
  <c r="I6" i="7"/>
  <c r="F15" i="7" s="1"/>
  <c r="F16" i="7" s="1"/>
  <c r="C16" i="6"/>
  <c r="B16" i="6"/>
  <c r="A16" i="6"/>
  <c r="C15" i="6"/>
  <c r="B15" i="6"/>
  <c r="A15" i="6"/>
  <c r="C14" i="6"/>
  <c r="B14" i="6"/>
  <c r="A14" i="6"/>
  <c r="D13" i="6"/>
  <c r="C13" i="6"/>
  <c r="B13" i="6"/>
  <c r="A13" i="6"/>
  <c r="E12" i="6"/>
  <c r="B12" i="6"/>
  <c r="A12" i="6"/>
  <c r="B11" i="6"/>
  <c r="A11" i="6"/>
  <c r="B10" i="6"/>
  <c r="A10" i="6"/>
  <c r="B9" i="6"/>
  <c r="A9" i="6"/>
  <c r="B8" i="6"/>
  <c r="A8" i="6"/>
  <c r="D7" i="6"/>
  <c r="B7" i="6"/>
  <c r="A7" i="6"/>
  <c r="B6" i="6"/>
  <c r="A6" i="6"/>
  <c r="B5" i="6"/>
  <c r="A5" i="6"/>
  <c r="E4" i="6"/>
  <c r="B4" i="6"/>
  <c r="A4" i="6"/>
  <c r="D3" i="6"/>
  <c r="B3" i="6"/>
  <c r="A3" i="6"/>
  <c r="B2" i="6"/>
  <c r="A2" i="6"/>
  <c r="C4" i="6" l="1"/>
  <c r="D4" i="6"/>
  <c r="D9" i="6"/>
  <c r="B98" i="7"/>
  <c r="C9" i="6" s="1"/>
  <c r="B137" i="7"/>
  <c r="C12" i="6" s="1"/>
  <c r="D12" i="6"/>
  <c r="D10" i="6"/>
  <c r="B111" i="7"/>
  <c r="C10" i="6" s="1"/>
  <c r="C2" i="6"/>
  <c r="D2" i="6"/>
  <c r="C5" i="6"/>
  <c r="D5" i="6"/>
  <c r="B124" i="7"/>
  <c r="C11" i="6" s="1"/>
  <c r="D11" i="6"/>
  <c r="C3" i="6"/>
  <c r="D6" i="6"/>
  <c r="C6" i="6"/>
  <c r="C8" i="6"/>
  <c r="D8" i="6"/>
  <c r="G37" i="3"/>
  <c r="J20" i="2"/>
  <c r="J8" i="2"/>
  <c r="J9" i="2"/>
  <c r="J7" i="2"/>
  <c r="K37" i="3"/>
  <c r="K8" i="3"/>
  <c r="K9" i="3"/>
  <c r="K10" i="3"/>
  <c r="K11" i="3"/>
  <c r="K12" i="3"/>
  <c r="K13" i="3"/>
  <c r="K14" i="3"/>
  <c r="K15" i="3"/>
  <c r="K7" i="3"/>
  <c r="G8" i="3"/>
  <c r="G9" i="3"/>
  <c r="G10" i="3"/>
  <c r="G11" i="3"/>
  <c r="G12" i="3"/>
  <c r="G13" i="3"/>
  <c r="G14" i="3"/>
  <c r="G15" i="3"/>
  <c r="G7" i="3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J47" i="1"/>
  <c r="AJ48" i="1"/>
  <c r="AJ49" i="1"/>
  <c r="AJ50" i="1"/>
  <c r="AJ51" i="1"/>
  <c r="AI105" i="1"/>
  <c r="AJ105" i="1"/>
  <c r="AJ6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105" i="1"/>
  <c r="AK105" i="1" s="1"/>
  <c r="AH6" i="1"/>
  <c r="I20" i="1" l="1"/>
  <c r="L20" i="1" s="1"/>
  <c r="P20" i="1" s="1"/>
  <c r="F20" i="1"/>
  <c r="F19" i="1"/>
  <c r="H15" i="1"/>
  <c r="J6" i="2" l="1"/>
  <c r="K6" i="3"/>
  <c r="G6" i="3"/>
  <c r="D15" i="3" l="1"/>
  <c r="D14" i="3"/>
  <c r="D13" i="3"/>
  <c r="D12" i="3"/>
  <c r="D11" i="3"/>
  <c r="D10" i="3"/>
  <c r="D9" i="3"/>
  <c r="D8" i="3"/>
  <c r="D7" i="3"/>
  <c r="D6" i="3"/>
  <c r="F9" i="2"/>
  <c r="F8" i="2"/>
  <c r="F6" i="2"/>
  <c r="G51" i="1"/>
  <c r="F50" i="1"/>
  <c r="G49" i="1"/>
  <c r="F49" i="1"/>
  <c r="I49" i="1"/>
  <c r="L49" i="1" s="1"/>
  <c r="F48" i="1"/>
  <c r="I47" i="1"/>
  <c r="I48" i="1"/>
  <c r="L48" i="1" s="1"/>
  <c r="I50" i="1"/>
  <c r="L50" i="1" s="1"/>
  <c r="I51" i="1"/>
  <c r="L51" i="1" s="1"/>
  <c r="F47" i="1"/>
  <c r="I46" i="1"/>
  <c r="L46" i="1" s="1"/>
  <c r="P46" i="1" s="1"/>
  <c r="G46" i="1"/>
  <c r="I45" i="1"/>
  <c r="L45" i="1" s="1"/>
  <c r="P45" i="1" s="1"/>
  <c r="F45" i="1"/>
  <c r="I43" i="1"/>
  <c r="L43" i="1" s="1"/>
  <c r="P43" i="1" s="1"/>
  <c r="I44" i="1"/>
  <c r="L44" i="1" s="1"/>
  <c r="P44" i="1" s="1"/>
  <c r="I41" i="1"/>
  <c r="L41" i="1" s="1"/>
  <c r="P41" i="1" s="1"/>
  <c r="I42" i="1"/>
  <c r="L42" i="1" s="1"/>
  <c r="P42" i="1" s="1"/>
  <c r="I40" i="1"/>
  <c r="L40" i="1" s="1"/>
  <c r="P40" i="1" s="1"/>
  <c r="F40" i="1"/>
  <c r="I19" i="1"/>
  <c r="L19" i="1" s="1"/>
  <c r="P19" i="1" s="1"/>
  <c r="H21" i="1"/>
  <c r="I21" i="1" s="1"/>
  <c r="L21" i="1" s="1"/>
  <c r="P21" i="1" s="1"/>
  <c r="I18" i="1"/>
  <c r="L18" i="1" s="1"/>
  <c r="P18" i="1" s="1"/>
  <c r="I39" i="1"/>
  <c r="L39" i="1" s="1"/>
  <c r="P39" i="1" s="1"/>
  <c r="H39" i="1"/>
  <c r="I38" i="1"/>
  <c r="L38" i="1" s="1"/>
  <c r="P38" i="1" s="1"/>
  <c r="I37" i="1"/>
  <c r="L37" i="1" s="1"/>
  <c r="P37" i="1" s="1"/>
  <c r="F37" i="1"/>
  <c r="I36" i="1"/>
  <c r="L36" i="1" s="1"/>
  <c r="P36" i="1" s="1"/>
  <c r="H36" i="1"/>
  <c r="I35" i="1"/>
  <c r="L35" i="1" s="1"/>
  <c r="P35" i="1" s="1"/>
  <c r="I34" i="1"/>
  <c r="L34" i="1" s="1"/>
  <c r="P34" i="1" s="1"/>
  <c r="H34" i="1"/>
  <c r="I32" i="1"/>
  <c r="L32" i="1" s="1"/>
  <c r="P32" i="1" s="1"/>
  <c r="I33" i="1"/>
  <c r="L33" i="1" s="1"/>
  <c r="P33" i="1" s="1"/>
  <c r="G32" i="1"/>
  <c r="I28" i="1"/>
  <c r="L28" i="1" s="1"/>
  <c r="P28" i="1" s="1"/>
  <c r="I29" i="1"/>
  <c r="L29" i="1" s="1"/>
  <c r="P29" i="1" s="1"/>
  <c r="I30" i="1"/>
  <c r="L30" i="1" s="1"/>
  <c r="P30" i="1" s="1"/>
  <c r="I31" i="1"/>
  <c r="L31" i="1" s="1"/>
  <c r="P31" i="1" s="1"/>
  <c r="I27" i="1"/>
  <c r="L27" i="1" s="1"/>
  <c r="P27" i="1" s="1"/>
  <c r="I26" i="1"/>
  <c r="L26" i="1" s="1"/>
  <c r="P26" i="1" s="1"/>
  <c r="G26" i="1"/>
  <c r="I25" i="1"/>
  <c r="L25" i="1" s="1"/>
  <c r="P25" i="1" s="1"/>
  <c r="H25" i="1"/>
  <c r="H6" i="1"/>
  <c r="I6" i="1" s="1"/>
  <c r="L6" i="1" s="1"/>
  <c r="P6" i="1" s="1"/>
  <c r="I8" i="1"/>
  <c r="L8" i="1" s="1"/>
  <c r="P8" i="1" s="1"/>
  <c r="I24" i="1"/>
  <c r="L24" i="1" s="1"/>
  <c r="P24" i="1" s="1"/>
  <c r="H24" i="1"/>
  <c r="G24" i="1"/>
  <c r="I23" i="1"/>
  <c r="L23" i="1" s="1"/>
  <c r="P23" i="1" s="1"/>
  <c r="H23" i="1"/>
  <c r="I22" i="1"/>
  <c r="L22" i="1" s="1"/>
  <c r="P22" i="1" s="1"/>
  <c r="F22" i="1"/>
  <c r="I17" i="1"/>
  <c r="L17" i="1" s="1"/>
  <c r="P17" i="1" s="1"/>
  <c r="H17" i="1"/>
  <c r="G17" i="1"/>
  <c r="I16" i="1"/>
  <c r="L16" i="1" s="1"/>
  <c r="P16" i="1" s="1"/>
  <c r="G16" i="1"/>
  <c r="F16" i="1"/>
  <c r="I15" i="1"/>
  <c r="L15" i="1" s="1"/>
  <c r="P15" i="1" s="1"/>
  <c r="G15" i="1"/>
  <c r="I14" i="1"/>
  <c r="L14" i="1" s="1"/>
  <c r="P14" i="1" s="1"/>
  <c r="G14" i="1"/>
  <c r="I13" i="1"/>
  <c r="L13" i="1" s="1"/>
  <c r="P13" i="1" s="1"/>
  <c r="I12" i="1"/>
  <c r="L12" i="1" s="1"/>
  <c r="P12" i="1" s="1"/>
  <c r="I11" i="1"/>
  <c r="L11" i="1" s="1"/>
  <c r="P11" i="1" s="1"/>
  <c r="I10" i="1"/>
  <c r="L10" i="1" s="1"/>
  <c r="P10" i="1" s="1"/>
  <c r="I7" i="1"/>
  <c r="L7" i="1" s="1"/>
  <c r="P7" i="1" s="1"/>
  <c r="I9" i="1"/>
  <c r="L9" i="1" s="1"/>
  <c r="P9" i="1" s="1"/>
  <c r="L47" i="1" l="1"/>
  <c r="I108" i="1"/>
  <c r="B18" i="4" s="1"/>
  <c r="I107" i="1"/>
  <c r="B21" i="4" s="1"/>
  <c r="P51" i="1"/>
  <c r="AB51" i="1"/>
  <c r="AF51" i="1" s="1"/>
  <c r="T51" i="1"/>
  <c r="X51" i="1" s="1"/>
  <c r="AI51" i="1"/>
  <c r="AK51" i="1" s="1"/>
  <c r="P49" i="1"/>
  <c r="T49" i="1"/>
  <c r="X49" i="1" s="1"/>
  <c r="AB49" i="1"/>
  <c r="AF49" i="1" s="1"/>
  <c r="AI49" i="1"/>
  <c r="AK49" i="1" s="1"/>
  <c r="P50" i="1"/>
  <c r="T50" i="1"/>
  <c r="X50" i="1" s="1"/>
  <c r="AB50" i="1"/>
  <c r="AF50" i="1" s="1"/>
  <c r="AI50" i="1"/>
  <c r="AK50" i="1" s="1"/>
  <c r="P48" i="1"/>
  <c r="AB48" i="1"/>
  <c r="AF48" i="1" s="1"/>
  <c r="T48" i="1"/>
  <c r="X48" i="1" s="1"/>
  <c r="AI48" i="1"/>
  <c r="AK48" i="1" s="1"/>
  <c r="P47" i="1" l="1"/>
  <c r="T47" i="1"/>
  <c r="X47" i="1" s="1"/>
  <c r="X107" i="1" s="1"/>
  <c r="B10" i="4" s="1"/>
  <c r="AB47" i="1"/>
  <c r="AF47" i="1" s="1"/>
  <c r="AF107" i="1" s="1"/>
  <c r="B14" i="4" s="1"/>
  <c r="AI47" i="1"/>
  <c r="AK47" i="1" s="1"/>
  <c r="E14" i="4" l="1"/>
  <c r="H14" i="4"/>
  <c r="E10" i="4"/>
  <c r="H10" i="4"/>
  <c r="C3" i="9"/>
  <c r="P107" i="1"/>
  <c r="B6" i="4" s="1"/>
  <c r="E6" i="4" l="1"/>
  <c r="H6" i="4"/>
</calcChain>
</file>

<file path=xl/sharedStrings.xml><?xml version="1.0" encoding="utf-8"?>
<sst xmlns="http://schemas.openxmlformats.org/spreadsheetml/2006/main" count="1555" uniqueCount="251">
  <si>
    <t>壁の名称</t>
    <rPh sb="0" eb="1">
      <t>カベ</t>
    </rPh>
    <rPh sb="2" eb="4">
      <t>メイショウ</t>
    </rPh>
    <phoneticPr fontId="2"/>
  </si>
  <si>
    <t>×</t>
    <phoneticPr fontId="2"/>
  </si>
  <si>
    <t>＝</t>
    <phoneticPr fontId="2"/>
  </si>
  <si>
    <t>方位</t>
    <rPh sb="0" eb="2">
      <t>ホウイ</t>
    </rPh>
    <phoneticPr fontId="2"/>
  </si>
  <si>
    <t>地盤</t>
    <rPh sb="0" eb="2">
      <t>ジバン</t>
    </rPh>
    <phoneticPr fontId="2"/>
  </si>
  <si>
    <t>基礎・地盤の名称</t>
    <rPh sb="0" eb="2">
      <t>キソ</t>
    </rPh>
    <rPh sb="3" eb="5">
      <t>ジバン</t>
    </rPh>
    <rPh sb="6" eb="8">
      <t>メイショウ</t>
    </rPh>
    <phoneticPr fontId="2"/>
  </si>
  <si>
    <t>断熱構成の名称</t>
    <rPh sb="0" eb="2">
      <t>ダンネツ</t>
    </rPh>
    <rPh sb="2" eb="4">
      <t>コウセイ</t>
    </rPh>
    <rPh sb="5" eb="7">
      <t>メイショウ</t>
    </rPh>
    <phoneticPr fontId="2"/>
  </si>
  <si>
    <t>透明な部位（窓）</t>
    <rPh sb="0" eb="2">
      <t>トウメイ</t>
    </rPh>
    <rPh sb="3" eb="5">
      <t>ブイ</t>
    </rPh>
    <rPh sb="6" eb="7">
      <t>マド</t>
    </rPh>
    <phoneticPr fontId="2"/>
  </si>
  <si>
    <t>窓の名称</t>
    <rPh sb="0" eb="1">
      <t>マド</t>
    </rPh>
    <rPh sb="2" eb="4">
      <t>メイショウ</t>
    </rPh>
    <phoneticPr fontId="2"/>
  </si>
  <si>
    <t>窓の種類（枠・ガラス）</t>
    <rPh sb="0" eb="1">
      <t>マド</t>
    </rPh>
    <rPh sb="2" eb="4">
      <t>シュルイ</t>
    </rPh>
    <rPh sb="5" eb="6">
      <t>ワク</t>
    </rPh>
    <phoneticPr fontId="2"/>
  </si>
  <si>
    <t>q値の合計</t>
    <rPh sb="1" eb="2">
      <t>チ</t>
    </rPh>
    <rPh sb="3" eb="5">
      <t>ゴウケイ</t>
    </rPh>
    <phoneticPr fontId="2"/>
  </si>
  <si>
    <t>mH値の合計</t>
    <rPh sb="2" eb="3">
      <t>アタイ</t>
    </rPh>
    <rPh sb="4" eb="6">
      <t>ゴウケイ</t>
    </rPh>
    <phoneticPr fontId="2"/>
  </si>
  <si>
    <t>mC値の合計</t>
    <rPh sb="2" eb="3">
      <t>アタイ</t>
    </rPh>
    <rPh sb="4" eb="6">
      <t>ゴウケイ</t>
    </rPh>
    <phoneticPr fontId="2"/>
  </si>
  <si>
    <t>(W/K)</t>
    <phoneticPr fontId="2"/>
  </si>
  <si>
    <t>(W/(W/m2))</t>
    <phoneticPr fontId="2"/>
  </si>
  <si>
    <t>Q値</t>
    <rPh sb="1" eb="2">
      <t>アタイ</t>
    </rPh>
    <phoneticPr fontId="2"/>
  </si>
  <si>
    <t>外皮の表面積の合計</t>
    <rPh sb="0" eb="2">
      <t>ガイヒ</t>
    </rPh>
    <rPh sb="3" eb="6">
      <t>ヒョウメンセキ</t>
    </rPh>
    <rPh sb="7" eb="9">
      <t>ゴウケイ</t>
    </rPh>
    <phoneticPr fontId="2"/>
  </si>
  <si>
    <t>床面積の合計</t>
    <rPh sb="0" eb="3">
      <t>ユカメンセキ</t>
    </rPh>
    <rPh sb="4" eb="6">
      <t>ゴウケイ</t>
    </rPh>
    <phoneticPr fontId="2"/>
  </si>
  <si>
    <t>(m2)</t>
    <phoneticPr fontId="2"/>
  </si>
  <si>
    <t>μH値</t>
    <rPh sb="2" eb="3">
      <t>アタイ</t>
    </rPh>
    <phoneticPr fontId="2"/>
  </si>
  <si>
    <t>μC値</t>
    <rPh sb="2" eb="3">
      <t>アタイ</t>
    </rPh>
    <phoneticPr fontId="2"/>
  </si>
  <si>
    <t>(W/m2K)</t>
    <phoneticPr fontId="2"/>
  </si>
  <si>
    <t>(-)</t>
    <phoneticPr fontId="2"/>
  </si>
  <si>
    <t>ηH値</t>
    <rPh sb="2" eb="3">
      <t>アタイ</t>
    </rPh>
    <phoneticPr fontId="2"/>
  </si>
  <si>
    <t>ηC値</t>
    <rPh sb="2" eb="3">
      <t>アタイ</t>
    </rPh>
    <phoneticPr fontId="2"/>
  </si>
  <si>
    <t>※WEBプログラムにはこの値を入力する</t>
    <rPh sb="13" eb="14">
      <t>アタイ</t>
    </rPh>
    <rPh sb="15" eb="17">
      <t>ニュウリョク</t>
    </rPh>
    <phoneticPr fontId="2"/>
  </si>
  <si>
    <t>※省エネ基準における外皮の判定に必要</t>
    <rPh sb="1" eb="2">
      <t>ショウ</t>
    </rPh>
    <rPh sb="4" eb="6">
      <t>キジュン</t>
    </rPh>
    <rPh sb="10" eb="12">
      <t>ガイヒ</t>
    </rPh>
    <rPh sb="13" eb="15">
      <t>ハンテイ</t>
    </rPh>
    <rPh sb="16" eb="18">
      <t>ヒツヨウ</t>
    </rPh>
    <phoneticPr fontId="2"/>
  </si>
  <si>
    <t>壁体構成の
名称</t>
    <rPh sb="0" eb="2">
      <t>ヘキタイ</t>
    </rPh>
    <rPh sb="2" eb="4">
      <t>コウセイ</t>
    </rPh>
    <rPh sb="6" eb="8">
      <t>メイショウ</t>
    </rPh>
    <phoneticPr fontId="2"/>
  </si>
  <si>
    <t>住宅・住戸名</t>
    <rPh sb="0" eb="2">
      <t>ジュウタク</t>
    </rPh>
    <rPh sb="3" eb="5">
      <t>ジュウコ</t>
    </rPh>
    <rPh sb="5" eb="6">
      <t>メイ</t>
    </rPh>
    <phoneticPr fontId="2"/>
  </si>
  <si>
    <t>全体</t>
    <rPh sb="0" eb="2">
      <t>ゼンタイ</t>
    </rPh>
    <phoneticPr fontId="2"/>
  </si>
  <si>
    <t>面積に関すること</t>
    <rPh sb="0" eb="2">
      <t>メンセキ</t>
    </rPh>
    <rPh sb="3" eb="4">
      <t>カン</t>
    </rPh>
    <phoneticPr fontId="2"/>
  </si>
  <si>
    <r>
      <t xml:space="preserve">①長さ１（ｍ）
</t>
    </r>
    <r>
      <rPr>
        <sz val="8"/>
        <color theme="1"/>
        <rFont val="Meiryo UI"/>
        <family val="3"/>
        <charset val="128"/>
      </rPr>
      <t>（壁の場合は水平方向）</t>
    </r>
    <rPh sb="1" eb="2">
      <t>ナガ</t>
    </rPh>
    <rPh sb="9" eb="10">
      <t>カベ</t>
    </rPh>
    <rPh sb="11" eb="13">
      <t>バアイ</t>
    </rPh>
    <rPh sb="14" eb="18">
      <t>スイヘイホウコウ</t>
    </rPh>
    <phoneticPr fontId="2"/>
  </si>
  <si>
    <r>
      <t xml:space="preserve">②長さ２（ｍ）
</t>
    </r>
    <r>
      <rPr>
        <sz val="8"/>
        <color theme="1"/>
        <rFont val="Meiryo UI"/>
        <family val="3"/>
        <charset val="128"/>
      </rPr>
      <t>（壁の場合は鉛直方向）</t>
    </r>
    <rPh sb="1" eb="2">
      <t>ナガ</t>
    </rPh>
    <rPh sb="9" eb="10">
      <t>カベ</t>
    </rPh>
    <rPh sb="11" eb="13">
      <t>バアイ</t>
    </rPh>
    <rPh sb="14" eb="16">
      <t>エンチョク</t>
    </rPh>
    <rPh sb="16" eb="18">
      <t>ホウコウ</t>
    </rPh>
    <phoneticPr fontId="2"/>
  </si>
  <si>
    <t>q値の計算に関すること</t>
    <rPh sb="1" eb="2">
      <t>アタイ</t>
    </rPh>
    <rPh sb="3" eb="5">
      <t>ケイサン</t>
    </rPh>
    <rPh sb="6" eb="7">
      <t>カン</t>
    </rPh>
    <phoneticPr fontId="2"/>
  </si>
  <si>
    <t>図面からひろう</t>
    <rPh sb="0" eb="2">
      <t>ズメン</t>
    </rPh>
    <phoneticPr fontId="2"/>
  </si>
  <si>
    <t>①×②－③</t>
    <phoneticPr fontId="2"/>
  </si>
  <si>
    <r>
      <t>④壁の面積
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2">
      <t>カベ</t>
    </rPh>
    <rPh sb="3" eb="5">
      <t>メンセキ</t>
    </rPh>
    <phoneticPr fontId="2"/>
  </si>
  <si>
    <t>計算する</t>
    <rPh sb="0" eb="2">
      <t>ケイサン</t>
    </rPh>
    <phoneticPr fontId="2"/>
  </si>
  <si>
    <t>④</t>
    <phoneticPr fontId="2"/>
  </si>
  <si>
    <t>図面から</t>
    <rPh sb="0" eb="2">
      <t>ズメン</t>
    </rPh>
    <phoneticPr fontId="2"/>
  </si>
  <si>
    <t>⑦温度差係数
（H）</t>
    <rPh sb="1" eb="4">
      <t>オンドサ</t>
    </rPh>
    <rPh sb="4" eb="6">
      <t>ケイスウ</t>
    </rPh>
    <phoneticPr fontId="2"/>
  </si>
  <si>
    <t>⑧ｑ値
（W/K)</t>
    <rPh sb="2" eb="3">
      <t>アタイ</t>
    </rPh>
    <phoneticPr fontId="2"/>
  </si>
  <si>
    <t>⑤×⑥×⑦</t>
    <phoneticPr fontId="2"/>
  </si>
  <si>
    <t>mH値の計算に関すること</t>
    <rPh sb="2" eb="3">
      <t>アタイ</t>
    </rPh>
    <rPh sb="4" eb="6">
      <t>ケイサン</t>
    </rPh>
    <rPh sb="7" eb="8">
      <t>カン</t>
    </rPh>
    <phoneticPr fontId="2"/>
  </si>
  <si>
    <t>図面</t>
    <rPh sb="0" eb="2">
      <t>ズメン</t>
    </rPh>
    <phoneticPr fontId="2"/>
  </si>
  <si>
    <t>⑤×0.034</t>
    <phoneticPr fontId="2"/>
  </si>
  <si>
    <t>④</t>
    <phoneticPr fontId="2"/>
  </si>
  <si>
    <t>⑨η値</t>
    <rPh sb="2" eb="3">
      <t>チ</t>
    </rPh>
    <phoneticPr fontId="2"/>
  </si>
  <si>
    <t>⑪方位係数
（ν）</t>
    <rPh sb="1" eb="3">
      <t>ホウイ</t>
    </rPh>
    <rPh sb="3" eb="5">
      <t>ケイスウ</t>
    </rPh>
    <phoneticPr fontId="2"/>
  </si>
  <si>
    <t>⑨×⑩×⑪</t>
    <phoneticPr fontId="2"/>
  </si>
  <si>
    <t>mC値の計算に関すること</t>
    <rPh sb="2" eb="3">
      <t>アタイ</t>
    </rPh>
    <rPh sb="4" eb="6">
      <t>ケイサン</t>
    </rPh>
    <rPh sb="7" eb="8">
      <t>カン</t>
    </rPh>
    <phoneticPr fontId="2"/>
  </si>
  <si>
    <t>⑬η値</t>
    <rPh sb="2" eb="3">
      <t>チ</t>
    </rPh>
    <phoneticPr fontId="2"/>
  </si>
  <si>
    <t>⑮方位係数
（ν）</t>
    <rPh sb="1" eb="3">
      <t>ホウイ</t>
    </rPh>
    <rPh sb="3" eb="5">
      <t>ケイスウ</t>
    </rPh>
    <phoneticPr fontId="2"/>
  </si>
  <si>
    <t>④</t>
    <phoneticPr fontId="2"/>
  </si>
  <si>
    <t>方位から</t>
    <rPh sb="0" eb="2">
      <t>ホウイ</t>
    </rPh>
    <phoneticPr fontId="2"/>
  </si>
  <si>
    <t>⑬×⑭×⑮</t>
    <phoneticPr fontId="2"/>
  </si>
  <si>
    <t>面積に関すること</t>
    <rPh sb="0" eb="2">
      <t>メンセキ</t>
    </rPh>
    <rPh sb="3" eb="4">
      <t>カン</t>
    </rPh>
    <phoneticPr fontId="2"/>
  </si>
  <si>
    <t>ｑ値の計算に関すること</t>
    <rPh sb="1" eb="2">
      <t>アタイ</t>
    </rPh>
    <rPh sb="3" eb="5">
      <t>ケイサン</t>
    </rPh>
    <rPh sb="6" eb="7">
      <t>カン</t>
    </rPh>
    <phoneticPr fontId="2"/>
  </si>
  <si>
    <t>計算する</t>
    <rPh sb="0" eb="2">
      <t>ケイサン</t>
    </rPh>
    <phoneticPr fontId="2"/>
  </si>
  <si>
    <r>
      <t>①面積（m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</si>
  <si>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②U値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</si>
  <si>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③面積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</si>
  <si>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①</t>
    <phoneticPr fontId="2"/>
  </si>
  <si>
    <t>図面から</t>
    <rPh sb="0" eb="2">
      <t>ズメン</t>
    </rPh>
    <phoneticPr fontId="2"/>
  </si>
  <si>
    <t>④温度差係数
（H）</t>
    <rPh sb="1" eb="4">
      <t>オンドサ</t>
    </rPh>
    <rPh sb="4" eb="6">
      <t>ケイスウ</t>
    </rPh>
    <phoneticPr fontId="2"/>
  </si>
  <si>
    <t>②×③×④</t>
    <phoneticPr fontId="2"/>
  </si>
  <si>
    <t>⑤ｑ値
（W/K)</t>
    <rPh sb="2" eb="3">
      <t>アタイ</t>
    </rPh>
    <phoneticPr fontId="2"/>
  </si>
  <si>
    <t>mH値の計算に関すること</t>
    <rPh sb="2" eb="3">
      <t>チ</t>
    </rPh>
    <rPh sb="4" eb="6">
      <t>ケイサン</t>
    </rPh>
    <rPh sb="7" eb="8">
      <t>カン</t>
    </rPh>
    <phoneticPr fontId="2"/>
  </si>
  <si>
    <t>図面</t>
    <rPh sb="0" eb="2">
      <t>ズメン</t>
    </rPh>
    <phoneticPr fontId="2"/>
  </si>
  <si>
    <t>仕様から</t>
    <rPh sb="0" eb="2">
      <t>シヨウ</t>
    </rPh>
    <phoneticPr fontId="2"/>
  </si>
  <si>
    <t>⑥ηd値</t>
    <rPh sb="3" eb="4">
      <t>チ</t>
    </rPh>
    <phoneticPr fontId="2"/>
  </si>
  <si>
    <t>⑦日除け
（ｆ）</t>
    <rPh sb="1" eb="3">
      <t>ヒヨ</t>
    </rPh>
    <phoneticPr fontId="2"/>
  </si>
  <si>
    <t>①</t>
    <phoneticPr fontId="2"/>
  </si>
  <si>
    <t>⑨方位係数
（ν）</t>
    <rPh sb="1" eb="3">
      <t>ホウイ</t>
    </rPh>
    <rPh sb="3" eb="5">
      <t>ケイスウ</t>
    </rPh>
    <phoneticPr fontId="2"/>
  </si>
  <si>
    <t>「方位」から</t>
    <rPh sb="1" eb="3">
      <t>ホウイ</t>
    </rPh>
    <phoneticPr fontId="2"/>
  </si>
  <si>
    <t>⑥×⑦×⑧×⑨</t>
    <phoneticPr fontId="2"/>
  </si>
  <si>
    <t>mC値の計算に関すること</t>
    <rPh sb="2" eb="3">
      <t>チ</t>
    </rPh>
    <rPh sb="4" eb="6">
      <t>ケイサン</t>
    </rPh>
    <rPh sb="7" eb="8">
      <t>カン</t>
    </rPh>
    <phoneticPr fontId="2"/>
  </si>
  <si>
    <t>⑪ηd値</t>
    <rPh sb="3" eb="4">
      <t>チ</t>
    </rPh>
    <phoneticPr fontId="2"/>
  </si>
  <si>
    <t>⑫日除け
（ｆ）</t>
    <rPh sb="1" eb="3">
      <t>ヒヨ</t>
    </rPh>
    <phoneticPr fontId="2"/>
  </si>
  <si>
    <r>
      <t>⑧面積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</si>
  <si>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⑩ｍ値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</si>
  <si>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⑭方位係数
（ν）</t>
    <rPh sb="1" eb="3">
      <t>ホウイ</t>
    </rPh>
    <rPh sb="3" eb="5">
      <t>ケイスウ</t>
    </rPh>
    <phoneticPr fontId="2"/>
  </si>
  <si>
    <r>
      <t>⑮ｍ値
（W/(W/m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))</t>
    </r>
    <rPh sb="2" eb="3">
      <t>アタイ</t>
    </rPh>
    <phoneticPr fontId="2"/>
  </si>
  <si>
    <t>⑪×⑫×⑬×⑭</t>
    <phoneticPr fontId="2"/>
  </si>
  <si>
    <t>全体</t>
    <rPh sb="0" eb="2">
      <t>ゼンタイ</t>
    </rPh>
    <phoneticPr fontId="2"/>
  </si>
  <si>
    <t>①ψ値
（W/ｍK）</t>
    <rPh sb="2" eb="3">
      <t>チ</t>
    </rPh>
    <phoneticPr fontId="2"/>
  </si>
  <si>
    <t>②長さ
（ｍ）</t>
    <rPh sb="1" eb="2">
      <t>ナガ</t>
    </rPh>
    <phoneticPr fontId="2"/>
  </si>
  <si>
    <t>④ｑ値
（W/K)</t>
    <rPh sb="2" eb="3">
      <t>アタイ</t>
    </rPh>
    <phoneticPr fontId="2"/>
  </si>
  <si>
    <t>③温度差係数
（H）</t>
    <rPh sb="1" eb="4">
      <t>オンドサ</t>
    </rPh>
    <rPh sb="4" eb="6">
      <t>ケイスウ</t>
    </rPh>
    <phoneticPr fontId="2"/>
  </si>
  <si>
    <t>①×②×③</t>
    <phoneticPr fontId="2"/>
  </si>
  <si>
    <t>合計</t>
    <rPh sb="0" eb="2">
      <t>ゴウケイ</t>
    </rPh>
    <phoneticPr fontId="2"/>
  </si>
  <si>
    <t>合計</t>
    <rPh sb="0" eb="2">
      <t>ゴウケイ</t>
    </rPh>
    <phoneticPr fontId="2"/>
  </si>
  <si>
    <t>土壁（無断熱）</t>
    <rPh sb="0" eb="2">
      <t>ツチカベ</t>
    </rPh>
    <rPh sb="3" eb="6">
      <t>ムダンネツ</t>
    </rPh>
    <phoneticPr fontId="2"/>
  </si>
  <si>
    <t>戸袋</t>
    <rPh sb="0" eb="2">
      <t>トブクロ</t>
    </rPh>
    <phoneticPr fontId="2"/>
  </si>
  <si>
    <t>床板張り（無断熱）</t>
    <rPh sb="0" eb="1">
      <t>ユカ</t>
    </rPh>
    <rPh sb="1" eb="3">
      <t>イタバ</t>
    </rPh>
    <rPh sb="5" eb="8">
      <t>ムダンネツ</t>
    </rPh>
    <phoneticPr fontId="2"/>
  </si>
  <si>
    <t>床畳（無断熱）</t>
    <rPh sb="0" eb="1">
      <t>ユカ</t>
    </rPh>
    <rPh sb="1" eb="2">
      <t>タタミ</t>
    </rPh>
    <rPh sb="3" eb="6">
      <t>ムダンネツ</t>
    </rPh>
    <phoneticPr fontId="2"/>
  </si>
  <si>
    <t>天井板張り（無断熱）</t>
    <rPh sb="0" eb="2">
      <t>テンジョウ</t>
    </rPh>
    <rPh sb="2" eb="4">
      <t>イタバ</t>
    </rPh>
    <rPh sb="6" eb="9">
      <t>ムダンネツ</t>
    </rPh>
    <phoneticPr fontId="2"/>
  </si>
  <si>
    <t>土壁（無断熱）（戸境壁）</t>
    <phoneticPr fontId="2"/>
  </si>
  <si>
    <t>毛利の間_北</t>
    <rPh sb="0" eb="2">
      <t>モウリ</t>
    </rPh>
    <rPh sb="3" eb="4">
      <t>マ</t>
    </rPh>
    <rPh sb="5" eb="6">
      <t>キタ</t>
    </rPh>
    <phoneticPr fontId="2"/>
  </si>
  <si>
    <t>土壁（無断熱）＋板張り</t>
  </si>
  <si>
    <t>毛利の間_西_い-ろ間</t>
    <rPh sb="0" eb="2">
      <t>モウリ</t>
    </rPh>
    <rPh sb="3" eb="4">
      <t>マ</t>
    </rPh>
    <rPh sb="5" eb="6">
      <t>ニシ</t>
    </rPh>
    <rPh sb="10" eb="11">
      <t>アイダ</t>
    </rPh>
    <phoneticPr fontId="2"/>
  </si>
  <si>
    <t>毛利の間_西_ろ-に間</t>
    <rPh sb="0" eb="2">
      <t>モウリ</t>
    </rPh>
    <rPh sb="3" eb="4">
      <t>マ</t>
    </rPh>
    <rPh sb="5" eb="6">
      <t>ニシ</t>
    </rPh>
    <rPh sb="10" eb="11">
      <t>カン</t>
    </rPh>
    <phoneticPr fontId="2"/>
  </si>
  <si>
    <t>1階サロン_北</t>
    <rPh sb="1" eb="2">
      <t>カイ</t>
    </rPh>
    <rPh sb="6" eb="7">
      <t>キタ</t>
    </rPh>
    <phoneticPr fontId="2"/>
  </si>
  <si>
    <t>奥村の間_北</t>
    <rPh sb="0" eb="2">
      <t>オクムラ</t>
    </rPh>
    <rPh sb="3" eb="4">
      <t>マ</t>
    </rPh>
    <rPh sb="5" eb="6">
      <t>キタ</t>
    </rPh>
    <phoneticPr fontId="2"/>
  </si>
  <si>
    <t>1階縁側_北</t>
    <rPh sb="1" eb="2">
      <t>カイ</t>
    </rPh>
    <rPh sb="2" eb="4">
      <t>エンガワ</t>
    </rPh>
    <rPh sb="5" eb="6">
      <t>キタ</t>
    </rPh>
    <phoneticPr fontId="2"/>
  </si>
  <si>
    <t>1階縁側_東_い-ろ間</t>
    <rPh sb="2" eb="4">
      <t>エンガワ</t>
    </rPh>
    <rPh sb="5" eb="6">
      <t>ヒガシ</t>
    </rPh>
    <rPh sb="10" eb="11">
      <t>カン</t>
    </rPh>
    <phoneticPr fontId="2"/>
  </si>
  <si>
    <t>1階縁側_東_ろ-は間</t>
    <rPh sb="2" eb="4">
      <t>エンガワ</t>
    </rPh>
    <rPh sb="5" eb="6">
      <t>ヒガシ</t>
    </rPh>
    <rPh sb="10" eb="11">
      <t>カン</t>
    </rPh>
    <phoneticPr fontId="2"/>
  </si>
  <si>
    <t>1階縁側_東_は-に間</t>
    <rPh sb="2" eb="4">
      <t>エンガワ</t>
    </rPh>
    <rPh sb="5" eb="6">
      <t>ヒガシ</t>
    </rPh>
    <rPh sb="10" eb="11">
      <t>カン</t>
    </rPh>
    <phoneticPr fontId="2"/>
  </si>
  <si>
    <t>1階縁側_南</t>
    <rPh sb="2" eb="4">
      <t>エンガワ</t>
    </rPh>
    <rPh sb="5" eb="6">
      <t>ミナミ</t>
    </rPh>
    <phoneticPr fontId="2"/>
  </si>
  <si>
    <t>土間_東</t>
    <rPh sb="0" eb="2">
      <t>ドマ</t>
    </rPh>
    <rPh sb="3" eb="4">
      <t>ヒガシ</t>
    </rPh>
    <phoneticPr fontId="2"/>
  </si>
  <si>
    <t>土間_南</t>
    <rPh sb="0" eb="2">
      <t>ドマ</t>
    </rPh>
    <rPh sb="3" eb="4">
      <t>ミナミ</t>
    </rPh>
    <phoneticPr fontId="2"/>
  </si>
  <si>
    <t>土間_西</t>
    <rPh sb="0" eb="2">
      <t>ドマ</t>
    </rPh>
    <rPh sb="3" eb="4">
      <t>ニシ</t>
    </rPh>
    <phoneticPr fontId="2"/>
  </si>
  <si>
    <t>土壁（無断熱）＋下見板張り</t>
    <phoneticPr fontId="2"/>
  </si>
  <si>
    <t>中野の間_西</t>
    <rPh sb="0" eb="2">
      <t>ナカノ</t>
    </rPh>
    <rPh sb="3" eb="4">
      <t>マ</t>
    </rPh>
    <rPh sb="5" eb="6">
      <t>ニシ</t>
    </rPh>
    <phoneticPr fontId="2"/>
  </si>
  <si>
    <t>土壁（無断熱）＋下見板張り</t>
    <rPh sb="0" eb="1">
      <t>ツチ</t>
    </rPh>
    <rPh sb="1" eb="2">
      <t>カベ</t>
    </rPh>
    <rPh sb="3" eb="4">
      <t>ム</t>
    </rPh>
    <rPh sb="4" eb="6">
      <t>ダンネツ</t>
    </rPh>
    <rPh sb="8" eb="10">
      <t>シタミ</t>
    </rPh>
    <rPh sb="10" eb="11">
      <t>イタ</t>
    </rPh>
    <rPh sb="11" eb="12">
      <t>バ</t>
    </rPh>
    <phoneticPr fontId="2"/>
  </si>
  <si>
    <t>中野の間_西_ろ-に間</t>
    <rPh sb="0" eb="2">
      <t>ナカノ</t>
    </rPh>
    <rPh sb="3" eb="4">
      <t>マ</t>
    </rPh>
    <rPh sb="5" eb="6">
      <t>ニシ</t>
    </rPh>
    <rPh sb="10" eb="11">
      <t>カン</t>
    </rPh>
    <phoneticPr fontId="2"/>
  </si>
  <si>
    <t>中野の間_西_い-ろ間</t>
    <rPh sb="0" eb="2">
      <t>ナカノ</t>
    </rPh>
    <rPh sb="3" eb="4">
      <t>マ</t>
    </rPh>
    <rPh sb="5" eb="6">
      <t>ニシ</t>
    </rPh>
    <rPh sb="10" eb="11">
      <t>カン</t>
    </rPh>
    <phoneticPr fontId="2"/>
  </si>
  <si>
    <t>中野の間_北</t>
    <rPh sb="0" eb="2">
      <t>ナカノ</t>
    </rPh>
    <rPh sb="3" eb="4">
      <t>マ</t>
    </rPh>
    <rPh sb="5" eb="6">
      <t>キタ</t>
    </rPh>
    <phoneticPr fontId="2"/>
  </si>
  <si>
    <t>2階サロン_北</t>
    <rPh sb="1" eb="2">
      <t>カイ</t>
    </rPh>
    <rPh sb="6" eb="7">
      <t>キタ</t>
    </rPh>
    <phoneticPr fontId="2"/>
  </si>
  <si>
    <t>吉田の間_北</t>
    <rPh sb="0" eb="2">
      <t>ヨシダ</t>
    </rPh>
    <rPh sb="3" eb="4">
      <t>マ</t>
    </rPh>
    <rPh sb="5" eb="6">
      <t>キタ</t>
    </rPh>
    <phoneticPr fontId="2"/>
  </si>
  <si>
    <t>2階縁側_北</t>
    <rPh sb="1" eb="2">
      <t>カイ</t>
    </rPh>
    <rPh sb="2" eb="4">
      <t>エンガワ</t>
    </rPh>
    <rPh sb="5" eb="6">
      <t>キタ</t>
    </rPh>
    <phoneticPr fontId="2"/>
  </si>
  <si>
    <t>2階縁側_東</t>
    <rPh sb="1" eb="2">
      <t>カイ</t>
    </rPh>
    <rPh sb="2" eb="4">
      <t>エンガワ</t>
    </rPh>
    <rPh sb="5" eb="6">
      <t>ヒガシ</t>
    </rPh>
    <phoneticPr fontId="2"/>
  </si>
  <si>
    <t>2階縁側_東_い-ろ間</t>
    <rPh sb="1" eb="2">
      <t>カイ</t>
    </rPh>
    <rPh sb="2" eb="4">
      <t>エンガワ</t>
    </rPh>
    <rPh sb="5" eb="6">
      <t>ヒガシ</t>
    </rPh>
    <rPh sb="10" eb="11">
      <t>カン</t>
    </rPh>
    <phoneticPr fontId="2"/>
  </si>
  <si>
    <t>2階縁側_東_ろ-に間</t>
    <rPh sb="1" eb="2">
      <t>カイ</t>
    </rPh>
    <rPh sb="2" eb="4">
      <t>エンガワ</t>
    </rPh>
    <rPh sb="5" eb="6">
      <t>ヒガシ</t>
    </rPh>
    <rPh sb="10" eb="11">
      <t>カン</t>
    </rPh>
    <phoneticPr fontId="2"/>
  </si>
  <si>
    <t>2階縁側_南</t>
    <rPh sb="1" eb="2">
      <t>カイ</t>
    </rPh>
    <rPh sb="2" eb="4">
      <t>エンガワ</t>
    </rPh>
    <rPh sb="5" eb="6">
      <t>ミナミ</t>
    </rPh>
    <phoneticPr fontId="2"/>
  </si>
  <si>
    <t>2階吹き抜け_東</t>
    <rPh sb="1" eb="2">
      <t>カイ</t>
    </rPh>
    <rPh sb="2" eb="3">
      <t>フ</t>
    </rPh>
    <rPh sb="4" eb="5">
      <t>ヌ</t>
    </rPh>
    <rPh sb="7" eb="8">
      <t>ヒガシ</t>
    </rPh>
    <phoneticPr fontId="2"/>
  </si>
  <si>
    <t>2階吹き抜け_南</t>
    <rPh sb="1" eb="2">
      <t>カイ</t>
    </rPh>
    <rPh sb="2" eb="3">
      <t>フ</t>
    </rPh>
    <rPh sb="4" eb="5">
      <t>ヌ</t>
    </rPh>
    <rPh sb="7" eb="8">
      <t>ミナミ</t>
    </rPh>
    <phoneticPr fontId="2"/>
  </si>
  <si>
    <t>納戸_南</t>
    <rPh sb="0" eb="2">
      <t>ナンド</t>
    </rPh>
    <rPh sb="3" eb="4">
      <t>ミナミ</t>
    </rPh>
    <phoneticPr fontId="2"/>
  </si>
  <si>
    <t>納戸_西</t>
    <rPh sb="0" eb="2">
      <t>ナンド</t>
    </rPh>
    <rPh sb="3" eb="4">
      <t>ニシ</t>
    </rPh>
    <phoneticPr fontId="2"/>
  </si>
  <si>
    <t>板戸</t>
    <rPh sb="0" eb="2">
      <t>イタド</t>
    </rPh>
    <phoneticPr fontId="2"/>
  </si>
  <si>
    <t>毛利の間</t>
    <rPh sb="0" eb="2">
      <t>モウリ</t>
    </rPh>
    <rPh sb="3" eb="4">
      <t>マ</t>
    </rPh>
    <phoneticPr fontId="2"/>
  </si>
  <si>
    <t>1階サロン_階段下</t>
    <rPh sb="1" eb="2">
      <t>カイ</t>
    </rPh>
    <rPh sb="6" eb="9">
      <t>カイダンシタ</t>
    </rPh>
    <phoneticPr fontId="2"/>
  </si>
  <si>
    <t>1階サロン</t>
    <rPh sb="1" eb="2">
      <t>カイ</t>
    </rPh>
    <phoneticPr fontId="2"/>
  </si>
  <si>
    <t>奥村の間_仏間&amp;床間</t>
    <rPh sb="0" eb="2">
      <t>オクムラ</t>
    </rPh>
    <rPh sb="3" eb="4">
      <t>マ</t>
    </rPh>
    <rPh sb="5" eb="7">
      <t>ブツマ</t>
    </rPh>
    <rPh sb="8" eb="9">
      <t>トコ</t>
    </rPh>
    <rPh sb="9" eb="10">
      <t>マ</t>
    </rPh>
    <phoneticPr fontId="2"/>
  </si>
  <si>
    <t>奥村の間</t>
    <rPh sb="0" eb="2">
      <t>オクムラ</t>
    </rPh>
    <rPh sb="3" eb="4">
      <t>マ</t>
    </rPh>
    <phoneticPr fontId="2"/>
  </si>
  <si>
    <t>1階縁側</t>
    <rPh sb="1" eb="2">
      <t>カイ</t>
    </rPh>
    <rPh sb="2" eb="4">
      <t>エンガワ</t>
    </rPh>
    <phoneticPr fontId="2"/>
  </si>
  <si>
    <t>1階土間</t>
    <rPh sb="1" eb="2">
      <t>カイ</t>
    </rPh>
    <rPh sb="2" eb="4">
      <t>ドマ</t>
    </rPh>
    <phoneticPr fontId="2"/>
  </si>
  <si>
    <t>土間</t>
    <rPh sb="0" eb="2">
      <t>ドマ</t>
    </rPh>
    <phoneticPr fontId="2"/>
  </si>
  <si>
    <t>中野の間</t>
    <rPh sb="0" eb="2">
      <t>ナカノ</t>
    </rPh>
    <rPh sb="3" eb="4">
      <t>マ</t>
    </rPh>
    <phoneticPr fontId="2"/>
  </si>
  <si>
    <t>2階サロン</t>
    <rPh sb="1" eb="2">
      <t>カイ</t>
    </rPh>
    <phoneticPr fontId="2"/>
  </si>
  <si>
    <t>吉田の間</t>
    <rPh sb="0" eb="2">
      <t>ヨシダ</t>
    </rPh>
    <rPh sb="3" eb="4">
      <t>マ</t>
    </rPh>
    <phoneticPr fontId="2"/>
  </si>
  <si>
    <t>2階吹き抜け</t>
    <rPh sb="1" eb="2">
      <t>カイ</t>
    </rPh>
    <rPh sb="2" eb="3">
      <t>フ</t>
    </rPh>
    <rPh sb="4" eb="5">
      <t>ヌ</t>
    </rPh>
    <phoneticPr fontId="2"/>
  </si>
  <si>
    <t>納戸</t>
    <rPh sb="0" eb="2">
      <t>ナンド</t>
    </rPh>
    <phoneticPr fontId="2"/>
  </si>
  <si>
    <t>2階縁側</t>
    <rPh sb="1" eb="2">
      <t>カイ</t>
    </rPh>
    <rPh sb="2" eb="4">
      <t>エンガワ</t>
    </rPh>
    <phoneticPr fontId="2"/>
  </si>
  <si>
    <t>無断熱</t>
    <rPh sb="0" eb="3">
      <t>ムダンネツ</t>
    </rPh>
    <phoneticPr fontId="2"/>
  </si>
  <si>
    <t>1階土間_西</t>
    <rPh sb="1" eb="2">
      <t>カイ</t>
    </rPh>
    <rPh sb="2" eb="4">
      <t>ドマ</t>
    </rPh>
    <rPh sb="5" eb="6">
      <t>ニシ</t>
    </rPh>
    <phoneticPr fontId="2"/>
  </si>
  <si>
    <t>1階土間_東</t>
    <rPh sb="1" eb="2">
      <t>カイ</t>
    </rPh>
    <rPh sb="2" eb="4">
      <t>ドマ</t>
    </rPh>
    <rPh sb="5" eb="6">
      <t>ヒガシ</t>
    </rPh>
    <phoneticPr fontId="2"/>
  </si>
  <si>
    <t>1階土間_南</t>
    <rPh sb="1" eb="2">
      <t>カイ</t>
    </rPh>
    <rPh sb="2" eb="4">
      <t>ドマ</t>
    </rPh>
    <rPh sb="5" eb="6">
      <t>ミナミ</t>
    </rPh>
    <phoneticPr fontId="2"/>
  </si>
  <si>
    <t>1階土間_北</t>
    <rPh sb="1" eb="2">
      <t>カイ</t>
    </rPh>
    <rPh sb="2" eb="4">
      <t>ドマ</t>
    </rPh>
    <rPh sb="5" eb="6">
      <t>キタ</t>
    </rPh>
    <phoneticPr fontId="2"/>
  </si>
  <si>
    <t>毛利の間_西</t>
    <rPh sb="0" eb="2">
      <t>モウリ</t>
    </rPh>
    <rPh sb="3" eb="4">
      <t>マ</t>
    </rPh>
    <rPh sb="5" eb="6">
      <t>ニシ</t>
    </rPh>
    <phoneticPr fontId="2"/>
  </si>
  <si>
    <t>木製・単板</t>
    <rPh sb="0" eb="2">
      <t>モクセイ</t>
    </rPh>
    <rPh sb="3" eb="5">
      <t>タンバン</t>
    </rPh>
    <phoneticPr fontId="2"/>
  </si>
  <si>
    <t>1階縁側_東</t>
    <rPh sb="1" eb="2">
      <t>カイ</t>
    </rPh>
    <rPh sb="2" eb="4">
      <t>エンガワ</t>
    </rPh>
    <rPh sb="5" eb="6">
      <t>ヒガシ</t>
    </rPh>
    <phoneticPr fontId="2"/>
  </si>
  <si>
    <t>2階縁側_東_欄間</t>
    <rPh sb="1" eb="2">
      <t>カイ</t>
    </rPh>
    <rPh sb="2" eb="4">
      <t>エンガワ</t>
    </rPh>
    <rPh sb="5" eb="6">
      <t>ヒガシ</t>
    </rPh>
    <rPh sb="7" eb="9">
      <t>ランマ</t>
    </rPh>
    <phoneticPr fontId="2"/>
  </si>
  <si>
    <t>1階縁側_東_欄間</t>
    <rPh sb="1" eb="2">
      <t>カイ</t>
    </rPh>
    <rPh sb="2" eb="4">
      <t>エンガワ</t>
    </rPh>
    <rPh sb="5" eb="6">
      <t>ヒガシ</t>
    </rPh>
    <rPh sb="7" eb="9">
      <t>ランマ</t>
    </rPh>
    <phoneticPr fontId="2"/>
  </si>
  <si>
    <t>よしやまち校舎改修前</t>
    <rPh sb="5" eb="7">
      <t>コウシャ</t>
    </rPh>
    <rPh sb="7" eb="10">
      <t>カイシュウマエ</t>
    </rPh>
    <phoneticPr fontId="2"/>
  </si>
  <si>
    <r>
      <t>③除く面積（m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）
</t>
    </r>
    <r>
      <rPr>
        <sz val="8"/>
        <color theme="1"/>
        <rFont val="Meiryo UI"/>
        <family val="3"/>
        <charset val="128"/>
      </rPr>
      <t>（窓・戸など）</t>
    </r>
    <rPh sb="1" eb="2">
      <t>ノゾ</t>
    </rPh>
    <rPh sb="3" eb="5">
      <t>メンセキ</t>
    </rPh>
    <rPh sb="11" eb="12">
      <t>マド</t>
    </rPh>
    <rPh sb="13" eb="14">
      <t>ト</t>
    </rPh>
    <phoneticPr fontId="2"/>
  </si>
  <si>
    <r>
      <t>⑤U値
（W/m</t>
    </r>
    <r>
      <rPr>
        <vertAlign val="super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K）</t>
    </r>
    <rPh sb="2" eb="3">
      <t>チ</t>
    </rPh>
    <phoneticPr fontId="2"/>
  </si>
  <si>
    <r>
      <t>⑥面積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</si>
  <si>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>⑩面積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</si>
  <si>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⑫ｍ値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</si>
  <si>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r>
      <t>⑭面積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</si>
  <si>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r>
      <t xml:space="preserve">⑯ｍ値
</t>
    </r>
    <r>
      <rPr>
        <sz val="9"/>
        <color theme="1"/>
        <rFont val="Meiryo UI"/>
        <family val="3"/>
        <charset val="128"/>
      </rPr>
      <t>（W/(W/m</t>
    </r>
    <r>
      <rPr>
        <vertAlign val="superscript"/>
        <sz val="9"/>
        <color theme="1"/>
        <rFont val="Meiryo UI"/>
        <family val="3"/>
        <charset val="128"/>
      </rPr>
      <t>2</t>
    </r>
    <r>
      <rPr>
        <sz val="9"/>
        <color theme="1"/>
        <rFont val="Meiryo UI"/>
        <family val="3"/>
        <charset val="128"/>
      </rPr>
      <t>))</t>
    </r>
    <rPh sb="2" eb="3">
      <t>アタイ</t>
    </rPh>
    <phoneticPr fontId="2"/>
  </si>
  <si>
    <r>
      <t>⑬面積
（ｍ</t>
    </r>
    <r>
      <rPr>
        <vertAlign val="superscript"/>
        <sz val="11"/>
        <color theme="1"/>
        <rFont val="Meiryo UI"/>
        <family val="3"/>
        <charset val="128"/>
      </rPr>
      <t>２</t>
    </r>
    <r>
      <rPr>
        <sz val="11"/>
        <color theme="1"/>
        <rFont val="Meiryo UI"/>
        <family val="3"/>
        <charset val="128"/>
      </rPr>
      <t>）</t>
    </r>
    <rPh sb="1" eb="3">
      <t>メンセキ</t>
    </rPh>
    <phoneticPr fontId="2"/>
  </si>
  <si>
    <t>土間_北_大黒柱まで</t>
    <rPh sb="0" eb="2">
      <t>ドマ</t>
    </rPh>
    <rPh sb="3" eb="4">
      <t>キタ</t>
    </rPh>
    <rPh sb="5" eb="7">
      <t>ダイコク</t>
    </rPh>
    <rPh sb="7" eb="8">
      <t>バシラ</t>
    </rPh>
    <phoneticPr fontId="2"/>
  </si>
  <si>
    <t>土間_北_大黒柱より奥</t>
    <rPh sb="0" eb="2">
      <t>ドマ</t>
    </rPh>
    <rPh sb="3" eb="4">
      <t>キタ</t>
    </rPh>
    <rPh sb="5" eb="7">
      <t>ダイコク</t>
    </rPh>
    <rPh sb="7" eb="8">
      <t>バシラ</t>
    </rPh>
    <rPh sb="10" eb="11">
      <t>オク</t>
    </rPh>
    <phoneticPr fontId="2"/>
  </si>
  <si>
    <t>土壁（無断熱）（床下）</t>
    <phoneticPr fontId="2"/>
  </si>
  <si>
    <t>板張り（床下）</t>
    <rPh sb="0" eb="2">
      <t>イタバ</t>
    </rPh>
    <rPh sb="4" eb="6">
      <t>ユカシタ</t>
    </rPh>
    <phoneticPr fontId="2"/>
  </si>
  <si>
    <t>UA値</t>
    <rPh sb="2" eb="3">
      <t>アタイ</t>
    </rPh>
    <phoneticPr fontId="2"/>
  </si>
  <si>
    <t>番号</t>
    <rPh sb="0" eb="2">
      <t>バンゴウ</t>
    </rPh>
    <phoneticPr fontId="2"/>
  </si>
  <si>
    <t>壁体構成の名称</t>
    <rPh sb="0" eb="2">
      <t>ヘキタイ</t>
    </rPh>
    <rPh sb="2" eb="4">
      <t>コウセイ</t>
    </rPh>
    <rPh sb="5" eb="7">
      <t>メイショウ</t>
    </rPh>
    <phoneticPr fontId="2"/>
  </si>
  <si>
    <r>
      <t>U値（W/m</t>
    </r>
    <r>
      <rPr>
        <vertAlign val="superscript"/>
        <sz val="11"/>
        <color theme="1"/>
        <rFont val="メイリオ"/>
        <family val="3"/>
        <charset val="128"/>
      </rPr>
      <t>2</t>
    </r>
    <r>
      <rPr>
        <sz val="11"/>
        <color theme="1"/>
        <rFont val="メイリオ"/>
        <family val="3"/>
        <charset val="128"/>
      </rPr>
      <t>K）</t>
    </r>
    <rPh sb="1" eb="2">
      <t>チ</t>
    </rPh>
    <phoneticPr fontId="2"/>
  </si>
  <si>
    <t>U値（一般部）</t>
    <rPh sb="1" eb="2">
      <t>チ</t>
    </rPh>
    <rPh sb="3" eb="5">
      <t>イッパン</t>
    </rPh>
    <rPh sb="5" eb="6">
      <t>ブ</t>
    </rPh>
    <phoneticPr fontId="2"/>
  </si>
  <si>
    <t>U値（熱橋部）</t>
    <rPh sb="1" eb="2">
      <t>チ</t>
    </rPh>
    <rPh sb="3" eb="4">
      <t>ネツ</t>
    </rPh>
    <rPh sb="4" eb="5">
      <t>ハシ</t>
    </rPh>
    <rPh sb="5" eb="6">
      <t>ブ</t>
    </rPh>
    <phoneticPr fontId="2"/>
  </si>
  <si>
    <t>一般部</t>
    <rPh sb="0" eb="3">
      <t>イッパンブ</t>
    </rPh>
    <phoneticPr fontId="2"/>
  </si>
  <si>
    <t>熱橋部</t>
    <rPh sb="0" eb="2">
      <t>ネッキョウ</t>
    </rPh>
    <rPh sb="2" eb="3">
      <t>ブ</t>
    </rPh>
    <phoneticPr fontId="2"/>
  </si>
  <si>
    <t>層の名称</t>
    <rPh sb="0" eb="1">
      <t>ソウ</t>
    </rPh>
    <rPh sb="2" eb="4">
      <t>メイショウ</t>
    </rPh>
    <phoneticPr fontId="2"/>
  </si>
  <si>
    <t>①厚さ
(m)</t>
    <rPh sb="1" eb="2">
      <t>アツ</t>
    </rPh>
    <phoneticPr fontId="2"/>
  </si>
  <si>
    <t>②熱伝導率
(W/mK)</t>
    <rPh sb="1" eb="5">
      <t>ネツデンドウリツ</t>
    </rPh>
    <phoneticPr fontId="2"/>
  </si>
  <si>
    <r>
      <t>③熱抵抗
(m</t>
    </r>
    <r>
      <rPr>
        <vertAlign val="superscript"/>
        <sz val="11"/>
        <color theme="1"/>
        <rFont val="メイリオ"/>
        <family val="3"/>
        <charset val="128"/>
      </rPr>
      <t>2</t>
    </r>
    <r>
      <rPr>
        <sz val="11"/>
        <color theme="1"/>
        <rFont val="メイリオ"/>
        <family val="3"/>
        <charset val="128"/>
      </rPr>
      <t>K/W)</t>
    </r>
    <rPh sb="1" eb="4">
      <t>ネツテイコウ</t>
    </rPh>
    <phoneticPr fontId="2"/>
  </si>
  <si>
    <t>図面から</t>
    <rPh sb="0" eb="2">
      <t>ズメン</t>
    </rPh>
    <phoneticPr fontId="2"/>
  </si>
  <si>
    <t>表・JIS値から</t>
    <rPh sb="0" eb="1">
      <t>ヒョウ</t>
    </rPh>
    <rPh sb="5" eb="6">
      <t>アタイ</t>
    </rPh>
    <phoneticPr fontId="2"/>
  </si>
  <si>
    <t>表から,又は①÷②</t>
    <rPh sb="0" eb="1">
      <t>ヒョウ</t>
    </rPh>
    <rPh sb="4" eb="5">
      <t>マタ</t>
    </rPh>
    <phoneticPr fontId="2"/>
  </si>
  <si>
    <t>室内側</t>
    <rPh sb="0" eb="3">
      <t>シツナイガワ</t>
    </rPh>
    <phoneticPr fontId="2"/>
  </si>
  <si>
    <t>室内側表面</t>
    <rPh sb="0" eb="3">
      <t>シツナイガワ</t>
    </rPh>
    <rPh sb="3" eb="5">
      <t>ヒョウメン</t>
    </rPh>
    <phoneticPr fontId="2"/>
  </si>
  <si>
    <t>層１</t>
    <rPh sb="0" eb="1">
      <t>ソウ</t>
    </rPh>
    <phoneticPr fontId="2"/>
  </si>
  <si>
    <t>土壁</t>
    <rPh sb="0" eb="2">
      <t>ツチカベ</t>
    </rPh>
    <phoneticPr fontId="2"/>
  </si>
  <si>
    <t>木材</t>
    <rPh sb="0" eb="1">
      <t>モク</t>
    </rPh>
    <rPh sb="1" eb="2">
      <t>ザイ</t>
    </rPh>
    <phoneticPr fontId="2"/>
  </si>
  <si>
    <t>層２</t>
    <rPh sb="0" eb="1">
      <t>ソウ</t>
    </rPh>
    <phoneticPr fontId="2"/>
  </si>
  <si>
    <t>層３</t>
    <rPh sb="0" eb="1">
      <t>ソウ</t>
    </rPh>
    <phoneticPr fontId="2"/>
  </si>
  <si>
    <t>層４</t>
    <rPh sb="0" eb="1">
      <t>ソウ</t>
    </rPh>
    <phoneticPr fontId="2"/>
  </si>
  <si>
    <t>層５</t>
    <rPh sb="0" eb="1">
      <t>ソウ</t>
    </rPh>
    <phoneticPr fontId="2"/>
  </si>
  <si>
    <t>室外側</t>
    <rPh sb="0" eb="3">
      <t>シツガイガワ</t>
    </rPh>
    <phoneticPr fontId="2"/>
  </si>
  <si>
    <t>室外側表面</t>
    <rPh sb="0" eb="3">
      <t>シツガイガワ</t>
    </rPh>
    <rPh sb="3" eb="5">
      <t>ヒョウメン</t>
    </rPh>
    <phoneticPr fontId="2"/>
  </si>
  <si>
    <t>面積割合</t>
    <rPh sb="0" eb="2">
      <t>メンセキ</t>
    </rPh>
    <rPh sb="2" eb="4">
      <t>ワリアイ</t>
    </rPh>
    <phoneticPr fontId="2"/>
  </si>
  <si>
    <t>④熱抵抗合計（∑③）</t>
    <rPh sb="1" eb="4">
      <t>ネツテイコウ</t>
    </rPh>
    <rPh sb="4" eb="6">
      <t>ゴウケイ</t>
    </rPh>
    <phoneticPr fontId="2"/>
  </si>
  <si>
    <t>⑤U値（1÷④）</t>
    <rPh sb="2" eb="3">
      <t>チ</t>
    </rPh>
    <phoneticPr fontId="2"/>
  </si>
  <si>
    <t>土壁（無断熱）</t>
    <phoneticPr fontId="2"/>
  </si>
  <si>
    <t>土壁（無断熱）（戸境壁）</t>
    <phoneticPr fontId="2"/>
  </si>
  <si>
    <t>土壁（無断熱）（床下）</t>
    <phoneticPr fontId="2"/>
  </si>
  <si>
    <t>板張り（床下）</t>
    <phoneticPr fontId="2"/>
  </si>
  <si>
    <t>木材</t>
    <rPh sb="0" eb="2">
      <t>モクザイ</t>
    </rPh>
    <phoneticPr fontId="2"/>
  </si>
  <si>
    <t>土壁（無断熱）＋下見板張り</t>
    <phoneticPr fontId="2"/>
  </si>
  <si>
    <t>戸袋</t>
    <phoneticPr fontId="2"/>
  </si>
  <si>
    <t>床板張り（無断熱）（縁側下）</t>
    <phoneticPr fontId="2"/>
  </si>
  <si>
    <t>床板張り（無断熱）（床下）</t>
    <phoneticPr fontId="2"/>
  </si>
  <si>
    <t>床畳（無断熱）</t>
    <phoneticPr fontId="2"/>
  </si>
  <si>
    <t>畳床</t>
    <rPh sb="0" eb="1">
      <t>タタミ</t>
    </rPh>
    <rPh sb="1" eb="2">
      <t>ユカ</t>
    </rPh>
    <phoneticPr fontId="2"/>
  </si>
  <si>
    <t>天井板張り（無断熱）</t>
    <phoneticPr fontId="2"/>
  </si>
  <si>
    <r>
      <t>①y</t>
    </r>
    <r>
      <rPr>
        <vertAlign val="subscript"/>
        <sz val="11"/>
        <color theme="1"/>
        <rFont val="Meiryo UI"/>
        <family val="3"/>
        <charset val="128"/>
      </rPr>
      <t>1</t>
    </r>
    <r>
      <rPr>
        <sz val="11"/>
        <color theme="1"/>
        <rFont val="Meiryo UI"/>
        <family val="3"/>
        <charset val="128"/>
      </rPr>
      <t>（mm）</t>
    </r>
    <phoneticPr fontId="2"/>
  </si>
  <si>
    <r>
      <t>②y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>（mm）</t>
    </r>
    <phoneticPr fontId="2"/>
  </si>
  <si>
    <t>③z（mm）</t>
    <phoneticPr fontId="2"/>
  </si>
  <si>
    <t>暖房期日除け
（ｆ）</t>
    <rPh sb="0" eb="2">
      <t>ダンボウ</t>
    </rPh>
    <rPh sb="2" eb="3">
      <t>キ</t>
    </rPh>
    <rPh sb="3" eb="5">
      <t>ヒヨ</t>
    </rPh>
    <phoneticPr fontId="2"/>
  </si>
  <si>
    <t>冷房期日除け
（ｆ）</t>
    <rPh sb="0" eb="2">
      <t>レイボウ</t>
    </rPh>
    <rPh sb="2" eb="3">
      <t>キ</t>
    </rPh>
    <rPh sb="3" eb="5">
      <t>ヒヨ</t>
    </rPh>
    <phoneticPr fontId="2"/>
  </si>
  <si>
    <t>土壁（無断熱）＋板張り</t>
    <phoneticPr fontId="2"/>
  </si>
  <si>
    <t>西</t>
    <rPh sb="0" eb="1">
      <t>ニシ</t>
    </rPh>
    <phoneticPr fontId="2"/>
  </si>
  <si>
    <t>北</t>
    <rPh sb="0" eb="1">
      <t>キタ</t>
    </rPh>
    <phoneticPr fontId="2"/>
  </si>
  <si>
    <t>東</t>
    <rPh sb="0" eb="1">
      <t>ヒガシ</t>
    </rPh>
    <phoneticPr fontId="2"/>
  </si>
  <si>
    <t>南</t>
    <rPh sb="0" eb="1">
      <t>ミナミ</t>
    </rPh>
    <phoneticPr fontId="2"/>
  </si>
  <si>
    <t>下</t>
    <rPh sb="0" eb="1">
      <t>シタ</t>
    </rPh>
    <phoneticPr fontId="2"/>
  </si>
  <si>
    <t>上</t>
    <rPh sb="0" eb="1">
      <t>ウエ</t>
    </rPh>
    <phoneticPr fontId="2"/>
  </si>
  <si>
    <t>－</t>
    <phoneticPr fontId="2"/>
  </si>
  <si>
    <t>西</t>
    <rPh sb="0" eb="1">
      <t>ニシ</t>
    </rPh>
    <phoneticPr fontId="2"/>
  </si>
  <si>
    <t>東</t>
    <rPh sb="0" eb="1">
      <t>ヒガシ</t>
    </rPh>
    <phoneticPr fontId="2"/>
  </si>
  <si>
    <t>ー</t>
    <phoneticPr fontId="2"/>
  </si>
  <si>
    <t>(%)</t>
    <phoneticPr fontId="2"/>
  </si>
  <si>
    <t>&lt;0.87</t>
    <phoneticPr fontId="2"/>
  </si>
  <si>
    <t>&lt;2.8</t>
    <phoneticPr fontId="2"/>
  </si>
  <si>
    <t>壁</t>
    <rPh sb="0" eb="1">
      <t>カベ</t>
    </rPh>
    <phoneticPr fontId="2"/>
  </si>
  <si>
    <t>床</t>
    <rPh sb="0" eb="1">
      <t>ユカ</t>
    </rPh>
    <phoneticPr fontId="2"/>
  </si>
  <si>
    <t>改修前</t>
    <rPh sb="0" eb="3">
      <t>カイシュウマエ</t>
    </rPh>
    <phoneticPr fontId="2"/>
  </si>
  <si>
    <t>改修後</t>
    <rPh sb="0" eb="3">
      <t>カイシュウゴ</t>
    </rPh>
    <phoneticPr fontId="2"/>
  </si>
  <si>
    <t>屋根/天井</t>
    <rPh sb="0" eb="2">
      <t>ヤネ</t>
    </rPh>
    <rPh sb="3" eb="5">
      <t>テンジョウ</t>
    </rPh>
    <phoneticPr fontId="2"/>
  </si>
  <si>
    <t>窓/ドア</t>
    <rPh sb="0" eb="1">
      <t>マド</t>
    </rPh>
    <phoneticPr fontId="2"/>
  </si>
  <si>
    <t>GJ</t>
    <phoneticPr fontId="2"/>
  </si>
  <si>
    <t>kWh</t>
    <phoneticPr fontId="2"/>
  </si>
  <si>
    <t>kJ</t>
    <phoneticPr fontId="2"/>
  </si>
  <si>
    <t>GJ</t>
    <phoneticPr fontId="2"/>
  </si>
  <si>
    <t>KJ</t>
    <phoneticPr fontId="2"/>
  </si>
  <si>
    <t>kWh</t>
    <phoneticPr fontId="2"/>
  </si>
  <si>
    <t>円</t>
    <rPh sb="0" eb="1">
      <t>エン</t>
    </rPh>
    <phoneticPr fontId="2"/>
  </si>
  <si>
    <t>kWh</t>
    <phoneticPr fontId="2"/>
  </si>
  <si>
    <t>不透明な部位（壁・屋根・天井・床・ドア）</t>
    <rPh sb="0" eb="3">
      <t>フトウメイ</t>
    </rPh>
    <rPh sb="4" eb="6">
      <t>ブイ</t>
    </rPh>
    <rPh sb="7" eb="8">
      <t>カベ</t>
    </rPh>
    <rPh sb="9" eb="11">
      <t>ヤネ</t>
    </rPh>
    <rPh sb="12" eb="14">
      <t>テンジョウ</t>
    </rPh>
    <rPh sb="15" eb="16">
      <t>ユカ</t>
    </rPh>
    <phoneticPr fontId="2"/>
  </si>
  <si>
    <t>×</t>
  </si>
  <si>
    <t>＝</t>
  </si>
  <si>
    <t>番号</t>
    <rPh sb="0" eb="2">
      <t>バンゴウ</t>
    </rPh>
    <phoneticPr fontId="2"/>
  </si>
  <si>
    <t>壁体の
種類</t>
    <rPh sb="0" eb="2">
      <t>ヘキタイ</t>
    </rPh>
    <rPh sb="4" eb="6">
      <t>シュルイ</t>
    </rPh>
    <phoneticPr fontId="2"/>
  </si>
  <si>
    <t>壁</t>
  </si>
  <si>
    <t>間仕切り壁</t>
  </si>
  <si>
    <t>屋根・天井</t>
  </si>
  <si>
    <t>床</t>
  </si>
  <si>
    <t>土間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</si>
</sst>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12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6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vertAlign val="superscript"/>
      <sz val="9"/>
      <color theme="1"/>
      <name val="Meiryo UI"/>
      <family val="3"/>
      <charset val="128"/>
    </font>
    <font>
      <vertAlign val="superscript"/>
      <sz val="11"/>
      <color theme="1"/>
      <name val="メイリオ"/>
      <family val="3"/>
      <charset val="128"/>
    </font>
    <font>
      <vertAlign val="subscript"/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" fillId="3" borderId="10" xfId="0" applyFont="1" applyFill="1" applyBorder="1" applyAlignment="1">
      <alignment horizontal="center" vertical="center" shrinkToFit="1"/>
    </xf>
    <xf numFmtId="0" fontId="1" fillId="3" borderId="14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176" fontId="1" fillId="3" borderId="5" xfId="0" applyNumberFormat="1" applyFont="1" applyFill="1" applyBorder="1" applyAlignment="1">
      <alignment horizontal="center" vertical="center"/>
    </xf>
    <xf numFmtId="176" fontId="1" fillId="3" borderId="9" xfId="0" applyNumberFormat="1" applyFont="1" applyFill="1" applyBorder="1" applyAlignment="1">
      <alignment horizontal="center" vertical="center"/>
    </xf>
    <xf numFmtId="176" fontId="1" fillId="3" borderId="32" xfId="0" applyNumberFormat="1" applyFont="1" applyFill="1" applyBorder="1" applyAlignment="1">
      <alignment horizontal="center" vertical="center"/>
    </xf>
    <xf numFmtId="176" fontId="1" fillId="3" borderId="12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4" fillId="4" borderId="1" xfId="0" applyFont="1" applyFill="1" applyBorder="1"/>
    <xf numFmtId="0" fontId="4" fillId="3" borderId="0" xfId="0" applyFont="1" applyFill="1"/>
    <xf numFmtId="0" fontId="4" fillId="5" borderId="1" xfId="0" applyFont="1" applyFill="1" applyBorder="1"/>
    <xf numFmtId="0" fontId="0" fillId="3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8" xfId="0" applyFont="1" applyBorder="1"/>
    <xf numFmtId="0" fontId="1" fillId="0" borderId="0" xfId="0" applyFont="1"/>
    <xf numFmtId="0" fontId="4" fillId="0" borderId="3" xfId="0" applyFont="1" applyBorder="1" applyAlignment="1"/>
    <xf numFmtId="0" fontId="0" fillId="0" borderId="23" xfId="0" applyBorder="1" applyAlignment="1"/>
    <xf numFmtId="0" fontId="0" fillId="0" borderId="24" xfId="0" applyBorder="1" applyAlignment="1"/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5" borderId="35" xfId="0" applyFont="1" applyFill="1" applyBorder="1" applyAlignment="1"/>
    <xf numFmtId="0" fontId="0" fillId="5" borderId="36" xfId="0" applyFill="1" applyBorder="1" applyAlignment="1"/>
    <xf numFmtId="0" fontId="0" fillId="5" borderId="37" xfId="0" applyFill="1" applyBorder="1" applyAlignment="1"/>
    <xf numFmtId="0" fontId="4" fillId="3" borderId="35" xfId="0" applyFont="1" applyFill="1" applyBorder="1" applyAlignment="1"/>
    <xf numFmtId="0" fontId="0" fillId="3" borderId="36" xfId="0" applyFill="1" applyBorder="1" applyAlignment="1"/>
    <xf numFmtId="0" fontId="0" fillId="3" borderId="37" xfId="0" applyFill="1" applyBorder="1" applyAlignment="1"/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 shrinkToFit="1"/>
    </xf>
    <xf numFmtId="0" fontId="1" fillId="3" borderId="37" xfId="0" applyFont="1" applyFill="1" applyBorder="1" applyAlignment="1">
      <alignment horizontal="center" vertical="center" shrinkToFit="1"/>
    </xf>
    <xf numFmtId="0" fontId="1" fillId="3" borderId="39" xfId="0" applyFont="1" applyFill="1" applyBorder="1" applyAlignment="1">
      <alignment horizontal="center" vertical="center" shrinkToFit="1"/>
    </xf>
    <xf numFmtId="0" fontId="1" fillId="3" borderId="40" xfId="0" applyFont="1" applyFill="1" applyBorder="1" applyAlignment="1">
      <alignment horizontal="center" vertical="center" shrinkToFit="1"/>
    </xf>
    <xf numFmtId="0" fontId="1" fillId="2" borderId="41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 shrinkToFit="1"/>
    </xf>
    <xf numFmtId="0" fontId="1" fillId="5" borderId="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3" borderId="33" xfId="0" applyFont="1" applyFill="1" applyBorder="1" applyAlignment="1">
      <alignment horizontal="center" vertical="center" shrinkToFit="1"/>
    </xf>
    <xf numFmtId="0" fontId="1" fillId="3" borderId="13" xfId="0" applyFont="1" applyFill="1" applyBorder="1" applyAlignment="1">
      <alignment horizontal="center" vertical="center" shrinkToFit="1"/>
    </xf>
    <xf numFmtId="0" fontId="1" fillId="3" borderId="27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グラフ!$B$3</c:f>
              <c:strCache>
                <c:ptCount val="1"/>
                <c:pt idx="0">
                  <c:v>屋根/天井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グラフ!$C$3:$D$3</c:f>
              <c:numCache>
                <c:formatCode>General</c:formatCode>
                <c:ptCount val="2"/>
                <c:pt idx="0">
                  <c:v>191.14464705882352</c:v>
                </c:pt>
                <c:pt idx="1">
                  <c:v>180</c:v>
                </c:pt>
              </c:numCache>
            </c:numRef>
          </c:val>
        </c:ser>
        <c:ser>
          <c:idx val="1"/>
          <c:order val="1"/>
          <c:tx>
            <c:strRef>
              <c:f>グラフ!$B$4</c:f>
              <c:strCache>
                <c:ptCount val="1"/>
                <c:pt idx="0">
                  <c:v>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グラフ!$C$4:$D$4</c:f>
              <c:numCache>
                <c:formatCode>General</c:formatCode>
                <c:ptCount val="2"/>
                <c:pt idx="0">
                  <c:v>318.22996120706796</c:v>
                </c:pt>
                <c:pt idx="1">
                  <c:v>290</c:v>
                </c:pt>
              </c:numCache>
            </c:numRef>
          </c:val>
        </c:ser>
        <c:ser>
          <c:idx val="2"/>
          <c:order val="2"/>
          <c:tx>
            <c:strRef>
              <c:f>グラフ!$B$5</c:f>
              <c:strCache>
                <c:ptCount val="1"/>
                <c:pt idx="0">
                  <c:v>窓/ドア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グラフ!$C$5:$D$5</c:f>
              <c:numCache>
                <c:formatCode>General</c:formatCode>
                <c:ptCount val="2"/>
                <c:pt idx="0">
                  <c:v>154.36837500000001</c:v>
                </c:pt>
                <c:pt idx="1">
                  <c:v>140</c:v>
                </c:pt>
              </c:numCache>
            </c:numRef>
          </c:val>
        </c:ser>
        <c:ser>
          <c:idx val="3"/>
          <c:order val="3"/>
          <c:tx>
            <c:strRef>
              <c:f>グラフ!$B$6</c:f>
              <c:strCache>
                <c:ptCount val="1"/>
                <c:pt idx="0">
                  <c:v>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グラフ!$C$6:$D$6</c:f>
              <c:numCache>
                <c:formatCode>General</c:formatCode>
                <c:ptCount val="2"/>
                <c:pt idx="0">
                  <c:v>41.2600653588824</c:v>
                </c:pt>
                <c:pt idx="1">
                  <c:v>38</c:v>
                </c:pt>
              </c:numCache>
            </c:numRef>
          </c:val>
        </c:ser>
        <c:ser>
          <c:idx val="4"/>
          <c:order val="4"/>
          <c:tx>
            <c:strRef>
              <c:f>グラフ!$B$7</c:f>
              <c:strCache>
                <c:ptCount val="1"/>
                <c:pt idx="0">
                  <c:v>土間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グラフ!$C$7:$D$7</c:f>
              <c:numCache>
                <c:formatCode>General</c:formatCode>
                <c:ptCount val="2"/>
                <c:pt idx="0">
                  <c:v>32.418900000000001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882656"/>
        <c:axId val="1004873952"/>
      </c:barChart>
      <c:catAx>
        <c:axId val="10048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4873952"/>
        <c:crosses val="autoZero"/>
        <c:auto val="1"/>
        <c:lblAlgn val="ctr"/>
        <c:lblOffset val="100"/>
        <c:noMultiLvlLbl val="0"/>
      </c:catAx>
      <c:valAx>
        <c:axId val="10048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48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グラフ!$B$3</c:f>
              <c:strCache>
                <c:ptCount val="1"/>
                <c:pt idx="0">
                  <c:v>屋根/天井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グラフ!$C$3:$D$3</c:f>
              <c:numCache>
                <c:formatCode>General</c:formatCode>
                <c:ptCount val="2"/>
                <c:pt idx="0">
                  <c:v>191.14464705882352</c:v>
                </c:pt>
                <c:pt idx="1">
                  <c:v>180</c:v>
                </c:pt>
              </c:numCache>
            </c:numRef>
          </c:val>
        </c:ser>
        <c:ser>
          <c:idx val="1"/>
          <c:order val="1"/>
          <c:tx>
            <c:strRef>
              <c:f>グラフ!$B$4</c:f>
              <c:strCache>
                <c:ptCount val="1"/>
                <c:pt idx="0">
                  <c:v>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グラフ!$C$4:$D$4</c:f>
              <c:numCache>
                <c:formatCode>General</c:formatCode>
                <c:ptCount val="2"/>
                <c:pt idx="0">
                  <c:v>318.22996120706796</c:v>
                </c:pt>
                <c:pt idx="1">
                  <c:v>290</c:v>
                </c:pt>
              </c:numCache>
            </c:numRef>
          </c:val>
        </c:ser>
        <c:ser>
          <c:idx val="2"/>
          <c:order val="2"/>
          <c:tx>
            <c:strRef>
              <c:f>グラフ!$B$5</c:f>
              <c:strCache>
                <c:ptCount val="1"/>
                <c:pt idx="0">
                  <c:v>窓/ドア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グラフ!$C$5:$D$5</c:f>
              <c:numCache>
                <c:formatCode>General</c:formatCode>
                <c:ptCount val="2"/>
                <c:pt idx="0">
                  <c:v>154.36837500000001</c:v>
                </c:pt>
                <c:pt idx="1">
                  <c:v>140</c:v>
                </c:pt>
              </c:numCache>
            </c:numRef>
          </c:val>
        </c:ser>
        <c:ser>
          <c:idx val="3"/>
          <c:order val="3"/>
          <c:tx>
            <c:strRef>
              <c:f>グラフ!$B$6</c:f>
              <c:strCache>
                <c:ptCount val="1"/>
                <c:pt idx="0">
                  <c:v>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グラフ!$C$6:$D$6</c:f>
              <c:numCache>
                <c:formatCode>General</c:formatCode>
                <c:ptCount val="2"/>
                <c:pt idx="0">
                  <c:v>41.2600653588824</c:v>
                </c:pt>
                <c:pt idx="1">
                  <c:v>38</c:v>
                </c:pt>
              </c:numCache>
            </c:numRef>
          </c:val>
        </c:ser>
        <c:ser>
          <c:idx val="4"/>
          <c:order val="4"/>
          <c:tx>
            <c:strRef>
              <c:f>グラフ!$B$7</c:f>
              <c:strCache>
                <c:ptCount val="1"/>
                <c:pt idx="0">
                  <c:v>土間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グラフ!$C$7:$D$7</c:f>
              <c:numCache>
                <c:formatCode>General</c:formatCode>
                <c:ptCount val="2"/>
                <c:pt idx="0">
                  <c:v>32.418900000000001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871232"/>
        <c:axId val="1004874496"/>
      </c:barChart>
      <c:catAx>
        <c:axId val="10048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4874496"/>
        <c:crosses val="autoZero"/>
        <c:auto val="1"/>
        <c:lblAlgn val="ctr"/>
        <c:lblOffset val="100"/>
        <c:noMultiLvlLbl val="0"/>
      </c:catAx>
      <c:valAx>
        <c:axId val="10048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q</a:t>
                </a:r>
                <a:r>
                  <a:rPr lang="ja-JP" altLang="en-US"/>
                  <a:t>値（</a:t>
                </a:r>
                <a:r>
                  <a:rPr lang="en-US" altLang="ja-JP"/>
                  <a:t>W/K</a:t>
                </a:r>
                <a:r>
                  <a:rPr lang="ja-JP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48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グラフ!$B$3</c:f>
              <c:strCache>
                <c:ptCount val="1"/>
                <c:pt idx="0">
                  <c:v>屋根/天井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グラフ!$C$3:$D$3</c:f>
              <c:numCache>
                <c:formatCode>General</c:formatCode>
                <c:ptCount val="2"/>
                <c:pt idx="0">
                  <c:v>191.14464705882352</c:v>
                </c:pt>
                <c:pt idx="1">
                  <c:v>180</c:v>
                </c:pt>
              </c:numCache>
            </c:numRef>
          </c:val>
        </c:ser>
        <c:ser>
          <c:idx val="1"/>
          <c:order val="1"/>
          <c:tx>
            <c:strRef>
              <c:f>グラフ!$B$4</c:f>
              <c:strCache>
                <c:ptCount val="1"/>
                <c:pt idx="0">
                  <c:v>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グラフ!$C$4:$D$4</c:f>
              <c:numCache>
                <c:formatCode>General</c:formatCode>
                <c:ptCount val="2"/>
                <c:pt idx="0">
                  <c:v>318.22996120706796</c:v>
                </c:pt>
                <c:pt idx="1">
                  <c:v>290</c:v>
                </c:pt>
              </c:numCache>
            </c:numRef>
          </c:val>
        </c:ser>
        <c:ser>
          <c:idx val="2"/>
          <c:order val="2"/>
          <c:tx>
            <c:strRef>
              <c:f>グラフ!$B$5</c:f>
              <c:strCache>
                <c:ptCount val="1"/>
                <c:pt idx="0">
                  <c:v>窓/ドア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グラフ!$C$5:$D$5</c:f>
              <c:numCache>
                <c:formatCode>General</c:formatCode>
                <c:ptCount val="2"/>
                <c:pt idx="0">
                  <c:v>154.36837500000001</c:v>
                </c:pt>
                <c:pt idx="1">
                  <c:v>140</c:v>
                </c:pt>
              </c:numCache>
            </c:numRef>
          </c:val>
        </c:ser>
        <c:ser>
          <c:idx val="3"/>
          <c:order val="3"/>
          <c:tx>
            <c:strRef>
              <c:f>グラフ!$B$6</c:f>
              <c:strCache>
                <c:ptCount val="1"/>
                <c:pt idx="0">
                  <c:v>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グラフ!$C$6:$D$6</c:f>
              <c:numCache>
                <c:formatCode>General</c:formatCode>
                <c:ptCount val="2"/>
                <c:pt idx="0">
                  <c:v>41.2600653588824</c:v>
                </c:pt>
                <c:pt idx="1">
                  <c:v>38</c:v>
                </c:pt>
              </c:numCache>
            </c:numRef>
          </c:val>
        </c:ser>
        <c:ser>
          <c:idx val="4"/>
          <c:order val="4"/>
          <c:tx>
            <c:strRef>
              <c:f>グラフ!$B$7</c:f>
              <c:strCache>
                <c:ptCount val="1"/>
                <c:pt idx="0">
                  <c:v>土間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グラフ!$C$2:$D$2</c:f>
              <c:strCache>
                <c:ptCount val="2"/>
                <c:pt idx="0">
                  <c:v>改修前</c:v>
                </c:pt>
                <c:pt idx="1">
                  <c:v>改修後</c:v>
                </c:pt>
              </c:strCache>
            </c:strRef>
          </c:cat>
          <c:val>
            <c:numRef>
              <c:f>グラフ!$C$7:$D$7</c:f>
              <c:numCache>
                <c:formatCode>General</c:formatCode>
                <c:ptCount val="2"/>
                <c:pt idx="0">
                  <c:v>32.418900000000001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4882112"/>
        <c:axId val="1004871776"/>
      </c:barChart>
      <c:catAx>
        <c:axId val="100488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4871776"/>
        <c:crosses val="autoZero"/>
        <c:auto val="1"/>
        <c:lblAlgn val="ctr"/>
        <c:lblOffset val="100"/>
        <c:noMultiLvlLbl val="0"/>
      </c:catAx>
      <c:valAx>
        <c:axId val="10048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48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4</xdr:row>
      <xdr:rowOff>209550</xdr:rowOff>
    </xdr:from>
    <xdr:to>
      <xdr:col>3</xdr:col>
      <xdr:colOff>857251</xdr:colOff>
      <xdr:row>12</xdr:row>
      <xdr:rowOff>123825</xdr:rowOff>
    </xdr:to>
    <xdr:sp macro="" textlink="">
      <xdr:nvSpPr>
        <xdr:cNvPr id="2" name="右矢印 1"/>
        <xdr:cNvSpPr/>
      </xdr:nvSpPr>
      <xdr:spPr>
        <a:xfrm>
          <a:off x="3295651" y="457200"/>
          <a:ext cx="666750" cy="1381125"/>
        </a:xfrm>
        <a:prstGeom prst="rightArrow">
          <a:avLst>
            <a:gd name="adj1" fmla="val 66552"/>
            <a:gd name="adj2" fmla="val 50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33337</xdr:rowOff>
    </xdr:from>
    <xdr:to>
      <xdr:col>11</xdr:col>
      <xdr:colOff>523875</xdr:colOff>
      <xdr:row>14</xdr:row>
      <xdr:rowOff>176212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</xdr:row>
      <xdr:rowOff>42862</xdr:rowOff>
    </xdr:from>
    <xdr:to>
      <xdr:col>16</xdr:col>
      <xdr:colOff>200025</xdr:colOff>
      <xdr:row>14</xdr:row>
      <xdr:rowOff>185737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9</xdr:row>
      <xdr:rowOff>38099</xdr:rowOff>
    </xdr:from>
    <xdr:to>
      <xdr:col>6</xdr:col>
      <xdr:colOff>552450</xdr:colOff>
      <xdr:row>18</xdr:row>
      <xdr:rowOff>119061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opLeftCell="A5" zoomScale="120" zoomScaleNormal="120" zoomScaleSheetLayoutView="120" workbookViewId="0">
      <selection activeCell="B14" sqref="B14"/>
    </sheetView>
  </sheetViews>
  <sheetFormatPr defaultRowHeight="18.75" x14ac:dyDescent="0.45"/>
  <cols>
    <col min="1" max="1" width="1.625" style="1" customWidth="1"/>
    <col min="2" max="2" width="15" style="1" customWidth="1"/>
    <col min="3" max="3" width="14.375" style="1" customWidth="1"/>
    <col min="4" max="4" width="14.125" style="1" customWidth="1"/>
    <col min="5" max="5" width="15" style="1" customWidth="1"/>
    <col min="6" max="6" width="9" style="1"/>
    <col min="7" max="7" width="2" style="1" customWidth="1"/>
    <col min="8" max="8" width="15" style="1" customWidth="1"/>
    <col min="9" max="9" width="14.125" style="1" customWidth="1"/>
    <col min="10" max="10" width="8.25" style="3" bestFit="1" customWidth="1"/>
    <col min="11" max="16384" width="9" style="1"/>
  </cols>
  <sheetData>
    <row r="2" spans="2:10" ht="19.5" thickBot="1" x14ac:dyDescent="0.5">
      <c r="B2" s="1" t="s">
        <v>28</v>
      </c>
    </row>
    <row r="3" spans="2:10" ht="30" customHeight="1" thickBot="1" x14ac:dyDescent="0.5">
      <c r="B3" s="65" t="s">
        <v>154</v>
      </c>
      <c r="C3" s="66"/>
      <c r="D3" s="67"/>
    </row>
    <row r="5" spans="2:10" ht="19.5" thickBot="1" x14ac:dyDescent="0.5">
      <c r="B5" s="1" t="s">
        <v>10</v>
      </c>
      <c r="E5" s="1" t="s">
        <v>15</v>
      </c>
      <c r="H5" s="1" t="s">
        <v>167</v>
      </c>
      <c r="J5" s="1"/>
    </row>
    <row r="6" spans="2:10" ht="19.5" thickBot="1" x14ac:dyDescent="0.5">
      <c r="B6" s="2">
        <f>'不透明な部位（窓以外・ドアを含む）'!P107+'透明な部位（窓）'!K37+地盤!J20</f>
        <v>737.42194862477379</v>
      </c>
      <c r="C6" s="3" t="s">
        <v>13</v>
      </c>
      <c r="E6" s="2">
        <f>B6/$B$21</f>
        <v>7.5645612456799096</v>
      </c>
      <c r="F6" s="3" t="s">
        <v>21</v>
      </c>
      <c r="H6" s="2">
        <f>B6/$B$18</f>
        <v>3.020870746936088</v>
      </c>
      <c r="I6" s="3" t="s">
        <v>21</v>
      </c>
      <c r="J6" s="3" t="s">
        <v>225</v>
      </c>
    </row>
    <row r="7" spans="2:10" x14ac:dyDescent="0.45">
      <c r="B7" s="3" t="s">
        <v>25</v>
      </c>
      <c r="E7" s="3"/>
      <c r="H7" s="3" t="s">
        <v>26</v>
      </c>
    </row>
    <row r="8" spans="2:10" x14ac:dyDescent="0.45">
      <c r="B8" s="3"/>
    </row>
    <row r="9" spans="2:10" ht="19.5" thickBot="1" x14ac:dyDescent="0.5">
      <c r="B9" s="1" t="s">
        <v>11</v>
      </c>
      <c r="E9" s="1" t="s">
        <v>19</v>
      </c>
      <c r="H9" s="1" t="s">
        <v>23</v>
      </c>
      <c r="J9" s="1"/>
    </row>
    <row r="10" spans="2:10" ht="19.5" thickBot="1" x14ac:dyDescent="0.5">
      <c r="B10" s="2">
        <f>'不透明な部位（窓以外・ドアを含む）'!X107+'透明な部位（窓）'!U37</f>
        <v>17.67178098618654</v>
      </c>
      <c r="C10" s="3" t="s">
        <v>14</v>
      </c>
      <c r="E10" s="2">
        <f>B10/$B$21</f>
        <v>0.1812792117722421</v>
      </c>
      <c r="F10" s="3" t="s">
        <v>22</v>
      </c>
      <c r="H10" s="2">
        <f>B10/$B$18*100</f>
        <v>7.2392971658884049</v>
      </c>
      <c r="I10" s="3" t="s">
        <v>224</v>
      </c>
    </row>
    <row r="11" spans="2:10" x14ac:dyDescent="0.45">
      <c r="B11" s="3" t="s">
        <v>25</v>
      </c>
    </row>
    <row r="12" spans="2:10" x14ac:dyDescent="0.45">
      <c r="B12" s="3"/>
    </row>
    <row r="13" spans="2:10" ht="19.5" thickBot="1" x14ac:dyDescent="0.5">
      <c r="B13" s="1" t="s">
        <v>12</v>
      </c>
      <c r="E13" s="1" t="s">
        <v>20</v>
      </c>
      <c r="H13" s="1" t="s">
        <v>24</v>
      </c>
      <c r="J13" s="1"/>
    </row>
    <row r="14" spans="2:10" ht="19.5" thickBot="1" x14ac:dyDescent="0.5">
      <c r="B14" s="2">
        <f>'不透明な部位（窓以外・ドアを含む）'!AF107+'透明な部位（窓）'!AE37</f>
        <v>18.38602893044483</v>
      </c>
      <c r="C14" s="3" t="s">
        <v>14</v>
      </c>
      <c r="E14" s="2">
        <f>B14/$B$21</f>
        <v>0.188606051350341</v>
      </c>
      <c r="F14" s="3" t="s">
        <v>22</v>
      </c>
      <c r="H14" s="2">
        <f>B14/$B$18*100</f>
        <v>7.5318909413914152</v>
      </c>
      <c r="I14" s="3" t="s">
        <v>224</v>
      </c>
      <c r="J14" s="3" t="s">
        <v>226</v>
      </c>
    </row>
    <row r="15" spans="2:10" x14ac:dyDescent="0.45">
      <c r="B15" s="3" t="s">
        <v>25</v>
      </c>
      <c r="H15" s="3" t="s">
        <v>26</v>
      </c>
    </row>
    <row r="16" spans="2:10" x14ac:dyDescent="0.45">
      <c r="B16" s="3"/>
    </row>
    <row r="17" spans="2:3" ht="19.5" thickBot="1" x14ac:dyDescent="0.5">
      <c r="B17" s="1" t="s">
        <v>16</v>
      </c>
    </row>
    <row r="18" spans="2:3" ht="19.5" thickBot="1" x14ac:dyDescent="0.5">
      <c r="B18" s="2">
        <f>'不透明な部位（窓以外・ドアを含む）'!I108+'透明な部位（窓）'!G37</f>
        <v>244.10907</v>
      </c>
      <c r="C18" s="3" t="s">
        <v>18</v>
      </c>
    </row>
    <row r="20" spans="2:3" ht="19.5" thickBot="1" x14ac:dyDescent="0.5">
      <c r="B20" s="1" t="s">
        <v>17</v>
      </c>
    </row>
    <row r="21" spans="2:3" ht="19.5" thickBot="1" x14ac:dyDescent="0.5">
      <c r="B21" s="2">
        <f>'不透明な部位（窓以外・ドアを含む）'!I107</f>
        <v>97.483769999999993</v>
      </c>
      <c r="C21" s="3" t="s">
        <v>18</v>
      </c>
    </row>
  </sheetData>
  <mergeCells count="1">
    <mergeCell ref="B3:D3"/>
  </mergeCells>
  <phoneticPr fontId="2"/>
  <pageMargins left="0.70866141732283472" right="0.70866141732283472" top="0.74803149606299213" bottom="0.74803149606299213" header="0.31496062992125984" footer="0.31496062992125984"/>
  <pageSetup paperSize="9" scale="88" orientation="portrait" horizontalDpi="4294967293" verticalDpi="4294967293" r:id="rId1"/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K108"/>
  <sheetViews>
    <sheetView tabSelected="1" view="pageBreakPreview" zoomScaleNormal="80" zoomScaleSheetLayoutView="100" workbookViewId="0">
      <selection activeCell="F7" sqref="F7"/>
    </sheetView>
  </sheetViews>
  <sheetFormatPr defaultRowHeight="15.75" x14ac:dyDescent="0.15"/>
  <cols>
    <col min="1" max="1" width="3.375" style="13" customWidth="1"/>
    <col min="2" max="2" width="5.5" style="13" bestFit="1" customWidth="1"/>
    <col min="3" max="3" width="19.75" style="13" customWidth="1"/>
    <col min="4" max="4" width="16.25" style="13" customWidth="1"/>
    <col min="5" max="5" width="10.375" style="13" bestFit="1" customWidth="1"/>
    <col min="6" max="9" width="16.25" style="13" customWidth="1"/>
    <col min="10" max="10" width="12.5" style="13" customWidth="1"/>
    <col min="11" max="11" width="3.25" style="13" bestFit="1" customWidth="1"/>
    <col min="12" max="12" width="12.5" style="13" customWidth="1"/>
    <col min="13" max="13" width="3.625" style="13" customWidth="1"/>
    <col min="14" max="14" width="13.625" style="13" customWidth="1"/>
    <col min="15" max="15" width="3.625" style="13" customWidth="1"/>
    <col min="16" max="16" width="12.5" style="13" customWidth="1"/>
    <col min="17" max="17" width="6.25" style="13" customWidth="1"/>
    <col min="18" max="18" width="12.5" style="13" customWidth="1"/>
    <col min="19" max="19" width="3.5" style="13" bestFit="1" customWidth="1"/>
    <col min="20" max="20" width="12.5" style="13" customWidth="1"/>
    <col min="21" max="21" width="3.5" style="13" bestFit="1" customWidth="1"/>
    <col min="22" max="22" width="11.375" style="13" bestFit="1" customWidth="1"/>
    <col min="23" max="23" width="3.875" style="13" bestFit="1" customWidth="1"/>
    <col min="24" max="24" width="12.5" style="13" customWidth="1"/>
    <col min="25" max="25" width="6.125" style="13" customWidth="1"/>
    <col min="26" max="26" width="12.375" style="13" customWidth="1"/>
    <col min="27" max="27" width="3.5" style="13" bestFit="1" customWidth="1"/>
    <col min="28" max="28" width="12.5" style="13" customWidth="1"/>
    <col min="29" max="29" width="3.5" style="13" bestFit="1" customWidth="1"/>
    <col min="30" max="30" width="11.375" style="13" bestFit="1" customWidth="1"/>
    <col min="31" max="31" width="3.875" style="13" bestFit="1" customWidth="1"/>
    <col min="32" max="32" width="12.5" style="13" customWidth="1"/>
    <col min="33" max="33" width="3.375" style="13" customWidth="1"/>
    <col min="34" max="16384" width="9" style="13"/>
  </cols>
  <sheetData>
    <row r="2" spans="2:37" ht="21.75" thickBot="1" x14ac:dyDescent="0.2">
      <c r="C2" s="39" t="s">
        <v>241</v>
      </c>
    </row>
    <row r="3" spans="2:37" ht="30" customHeight="1" thickBot="1" x14ac:dyDescent="0.2">
      <c r="B3" s="71" t="s">
        <v>29</v>
      </c>
      <c r="C3" s="72"/>
      <c r="D3" s="72"/>
      <c r="E3" s="73"/>
      <c r="F3" s="71" t="s">
        <v>30</v>
      </c>
      <c r="G3" s="72"/>
      <c r="H3" s="72"/>
      <c r="I3" s="73"/>
      <c r="J3" s="74" t="s">
        <v>33</v>
      </c>
      <c r="K3" s="72"/>
      <c r="L3" s="72"/>
      <c r="M3" s="72"/>
      <c r="N3" s="72"/>
      <c r="O3" s="72"/>
      <c r="P3" s="73"/>
      <c r="Q3" s="71" t="s">
        <v>43</v>
      </c>
      <c r="R3" s="72"/>
      <c r="S3" s="72"/>
      <c r="T3" s="72"/>
      <c r="U3" s="72"/>
      <c r="V3" s="72"/>
      <c r="W3" s="72"/>
      <c r="X3" s="73"/>
      <c r="Y3" s="71" t="s">
        <v>50</v>
      </c>
      <c r="Z3" s="72"/>
      <c r="AA3" s="72"/>
      <c r="AB3" s="72"/>
      <c r="AC3" s="72"/>
      <c r="AD3" s="72"/>
      <c r="AE3" s="72"/>
      <c r="AF3" s="73"/>
    </row>
    <row r="4" spans="2:37" ht="30" customHeight="1" x14ac:dyDescent="0.15">
      <c r="B4" s="68" t="s">
        <v>244</v>
      </c>
      <c r="C4" s="90" t="s">
        <v>0</v>
      </c>
      <c r="D4" s="96" t="s">
        <v>27</v>
      </c>
      <c r="E4" s="69" t="s">
        <v>245</v>
      </c>
      <c r="F4" s="4" t="s">
        <v>31</v>
      </c>
      <c r="G4" s="5" t="s">
        <v>32</v>
      </c>
      <c r="H4" s="5" t="s">
        <v>155</v>
      </c>
      <c r="I4" s="7" t="s">
        <v>36</v>
      </c>
      <c r="J4" s="4" t="s">
        <v>156</v>
      </c>
      <c r="K4" s="5"/>
      <c r="L4" s="5" t="s">
        <v>157</v>
      </c>
      <c r="M4" s="6"/>
      <c r="N4" s="5" t="s">
        <v>40</v>
      </c>
      <c r="O4" s="6"/>
      <c r="P4" s="7" t="s">
        <v>41</v>
      </c>
      <c r="Q4" s="14" t="s">
        <v>3</v>
      </c>
      <c r="R4" s="5" t="s">
        <v>47</v>
      </c>
      <c r="S4" s="5"/>
      <c r="T4" s="5" t="s">
        <v>158</v>
      </c>
      <c r="U4" s="6"/>
      <c r="V4" s="5" t="s">
        <v>48</v>
      </c>
      <c r="W4" s="6"/>
      <c r="X4" s="7" t="s">
        <v>159</v>
      </c>
      <c r="Y4" s="14" t="s">
        <v>3</v>
      </c>
      <c r="Z4" s="5" t="s">
        <v>51</v>
      </c>
      <c r="AA4" s="5"/>
      <c r="AB4" s="5" t="s">
        <v>160</v>
      </c>
      <c r="AC4" s="6"/>
      <c r="AD4" s="5" t="s">
        <v>52</v>
      </c>
      <c r="AE4" s="6"/>
      <c r="AF4" s="7" t="s">
        <v>161</v>
      </c>
    </row>
    <row r="5" spans="2:37" ht="16.5" thickBot="1" x14ac:dyDescent="0.2">
      <c r="B5" s="85"/>
      <c r="C5" s="91"/>
      <c r="D5" s="97"/>
      <c r="E5" s="70"/>
      <c r="F5" s="8" t="s">
        <v>34</v>
      </c>
      <c r="G5" s="9" t="s">
        <v>34</v>
      </c>
      <c r="H5" s="9" t="s">
        <v>34</v>
      </c>
      <c r="I5" s="11" t="s">
        <v>35</v>
      </c>
      <c r="J5" s="8" t="s">
        <v>37</v>
      </c>
      <c r="K5" s="9"/>
      <c r="L5" s="9" t="s">
        <v>38</v>
      </c>
      <c r="M5" s="10"/>
      <c r="N5" s="9" t="s">
        <v>39</v>
      </c>
      <c r="O5" s="10"/>
      <c r="P5" s="11" t="s">
        <v>42</v>
      </c>
      <c r="Q5" s="15" t="s">
        <v>44</v>
      </c>
      <c r="R5" s="9" t="s">
        <v>45</v>
      </c>
      <c r="S5" s="9"/>
      <c r="T5" s="9" t="s">
        <v>46</v>
      </c>
      <c r="U5" s="10"/>
      <c r="V5" s="9" t="s">
        <v>54</v>
      </c>
      <c r="W5" s="10"/>
      <c r="X5" s="11" t="s">
        <v>49</v>
      </c>
      <c r="Y5" s="15" t="s">
        <v>44</v>
      </c>
      <c r="Z5" s="9" t="s">
        <v>45</v>
      </c>
      <c r="AA5" s="9"/>
      <c r="AB5" s="9" t="s">
        <v>53</v>
      </c>
      <c r="AC5" s="10"/>
      <c r="AD5" s="9" t="s">
        <v>54</v>
      </c>
      <c r="AE5" s="10"/>
      <c r="AF5" s="11" t="s">
        <v>55</v>
      </c>
    </row>
    <row r="6" spans="2:37" ht="30" customHeight="1" x14ac:dyDescent="0.15">
      <c r="B6" s="93">
        <v>1</v>
      </c>
      <c r="C6" s="86" t="s">
        <v>101</v>
      </c>
      <c r="D6" s="98" t="s">
        <v>92</v>
      </c>
      <c r="E6" s="103" t="s">
        <v>246</v>
      </c>
      <c r="F6" s="18">
        <v>2.9550000000000001</v>
      </c>
      <c r="G6" s="19">
        <v>2.468</v>
      </c>
      <c r="H6" s="19">
        <f>1.7*2.85</f>
        <v>4.8449999999999998</v>
      </c>
      <c r="I6" s="20">
        <f t="shared" ref="I6:I27" si="0">F6*G6-H6</f>
        <v>2.44794</v>
      </c>
      <c r="J6" s="46">
        <v>3.4277582000542148</v>
      </c>
      <c r="K6" s="19" t="s">
        <v>1</v>
      </c>
      <c r="L6" s="19">
        <f>I6</f>
        <v>2.44794</v>
      </c>
      <c r="M6" s="19" t="s">
        <v>1</v>
      </c>
      <c r="N6" s="19">
        <v>1</v>
      </c>
      <c r="O6" s="19" t="s">
        <v>2</v>
      </c>
      <c r="P6" s="20">
        <f>J6*L6*N6</f>
        <v>8.3909464082407155</v>
      </c>
      <c r="Q6" s="18" t="s">
        <v>214</v>
      </c>
      <c r="R6" s="19">
        <f>J6*0.034</f>
        <v>0.11654377880184331</v>
      </c>
      <c r="S6" s="19" t="s">
        <v>1</v>
      </c>
      <c r="T6" s="19">
        <f>L6</f>
        <v>2.44794</v>
      </c>
      <c r="U6" s="19" t="s">
        <v>1</v>
      </c>
      <c r="V6" s="19">
        <f>0.523</f>
        <v>0.52300000000000002</v>
      </c>
      <c r="W6" s="19" t="s">
        <v>2</v>
      </c>
      <c r="X6" s="20">
        <f>R6*T6*V6</f>
        <v>0.14920780903133643</v>
      </c>
      <c r="Y6" s="18" t="s">
        <v>214</v>
      </c>
      <c r="Z6" s="19">
        <f>J6*0.034</f>
        <v>0.11654377880184331</v>
      </c>
      <c r="AA6" s="19" t="s">
        <v>1</v>
      </c>
      <c r="AB6" s="19">
        <f>L6</f>
        <v>2.44794</v>
      </c>
      <c r="AC6" s="19" t="s">
        <v>1</v>
      </c>
      <c r="AD6" s="19">
        <v>0.504</v>
      </c>
      <c r="AE6" s="19" t="s">
        <v>2</v>
      </c>
      <c r="AF6" s="20">
        <f>Z6*AB6*AD6</f>
        <v>0.1437872576516129</v>
      </c>
      <c r="AH6" s="50">
        <f>ROUND(J6,3)</f>
        <v>3.4279999999999999</v>
      </c>
      <c r="AI6" s="13">
        <f>L6</f>
        <v>2.44794</v>
      </c>
      <c r="AJ6" s="13">
        <f>N6</f>
        <v>1</v>
      </c>
      <c r="AK6" s="13">
        <f>AH6*AI6*AJ6</f>
        <v>8.3915383200000004</v>
      </c>
    </row>
    <row r="7" spans="2:37" ht="30" customHeight="1" x14ac:dyDescent="0.15">
      <c r="B7" s="94">
        <v>2</v>
      </c>
      <c r="C7" s="87" t="s">
        <v>100</v>
      </c>
      <c r="D7" s="99" t="s">
        <v>114</v>
      </c>
      <c r="E7" s="40" t="s">
        <v>246</v>
      </c>
      <c r="F7" s="29">
        <v>0.78</v>
      </c>
      <c r="G7" s="24">
        <v>0.5</v>
      </c>
      <c r="H7" s="24">
        <v>0</v>
      </c>
      <c r="I7" s="30">
        <f t="shared" si="0"/>
        <v>0.39</v>
      </c>
      <c r="J7" s="47">
        <v>3.3446054031532038</v>
      </c>
      <c r="K7" s="24" t="s">
        <v>1</v>
      </c>
      <c r="L7" s="24">
        <f>I7</f>
        <v>0.39</v>
      </c>
      <c r="M7" s="24" t="s">
        <v>1</v>
      </c>
      <c r="N7" s="24">
        <v>1</v>
      </c>
      <c r="O7" s="24" t="s">
        <v>2</v>
      </c>
      <c r="P7" s="30">
        <f>J7*L7*N7</f>
        <v>1.3043961072297494</v>
      </c>
      <c r="Q7" s="29" t="s">
        <v>214</v>
      </c>
      <c r="R7" s="24">
        <f>J7*0.034</f>
        <v>0.11371658370720894</v>
      </c>
      <c r="S7" s="24" t="s">
        <v>1</v>
      </c>
      <c r="T7" s="24">
        <f t="shared" ref="T7:T51" si="1">L7</f>
        <v>0.39</v>
      </c>
      <c r="U7" s="24" t="s">
        <v>1</v>
      </c>
      <c r="V7" s="24">
        <v>0.52300000000000002</v>
      </c>
      <c r="W7" s="24" t="s">
        <v>2</v>
      </c>
      <c r="X7" s="30">
        <f t="shared" ref="X7:X51" si="2">R7*T7*V7</f>
        <v>2.3194771578759411E-2</v>
      </c>
      <c r="Y7" s="29" t="s">
        <v>214</v>
      </c>
      <c r="Z7" s="24">
        <f t="shared" ref="Z7:Z51" si="3">J7*0.034</f>
        <v>0.11371658370720894</v>
      </c>
      <c r="AA7" s="24" t="s">
        <v>1</v>
      </c>
      <c r="AB7" s="24">
        <f t="shared" ref="AB7:AB51" si="4">L7</f>
        <v>0.39</v>
      </c>
      <c r="AC7" s="24" t="s">
        <v>1</v>
      </c>
      <c r="AD7" s="24">
        <v>0.504</v>
      </c>
      <c r="AE7" s="24" t="s">
        <v>2</v>
      </c>
      <c r="AF7" s="30">
        <f t="shared" ref="AF7:AF51" si="5">Z7*AB7*AD7</f>
        <v>2.2352131693488993E-2</v>
      </c>
      <c r="AH7" s="50">
        <f t="shared" ref="AH7:AH105" si="6">ROUND(J7,3)</f>
        <v>3.3450000000000002</v>
      </c>
      <c r="AI7" s="13">
        <f t="shared" ref="AI7:AI105" si="7">L7</f>
        <v>0.39</v>
      </c>
      <c r="AJ7" s="13">
        <f t="shared" ref="AJ7:AJ105" si="8">N7</f>
        <v>1</v>
      </c>
      <c r="AK7" s="13">
        <f t="shared" ref="AK7:AK105" si="9">AH7*AI7*AJ7</f>
        <v>1.3045500000000001</v>
      </c>
    </row>
    <row r="8" spans="2:37" ht="30" customHeight="1" x14ac:dyDescent="0.15">
      <c r="B8" s="94">
        <v>3</v>
      </c>
      <c r="C8" s="87" t="s">
        <v>100</v>
      </c>
      <c r="D8" s="99" t="s">
        <v>92</v>
      </c>
      <c r="E8" s="40" t="s">
        <v>246</v>
      </c>
      <c r="F8" s="29">
        <v>0.78</v>
      </c>
      <c r="G8" s="24">
        <v>1.968</v>
      </c>
      <c r="H8" s="24">
        <v>0</v>
      </c>
      <c r="I8" s="30">
        <f t="shared" si="0"/>
        <v>1.53504</v>
      </c>
      <c r="J8" s="47">
        <v>3.4277582000542148</v>
      </c>
      <c r="K8" s="24" t="s">
        <v>1</v>
      </c>
      <c r="L8" s="24">
        <f t="shared" ref="L8:L51" si="10">I8</f>
        <v>1.53504</v>
      </c>
      <c r="M8" s="24" t="s">
        <v>1</v>
      </c>
      <c r="N8" s="24">
        <v>1</v>
      </c>
      <c r="O8" s="24" t="s">
        <v>2</v>
      </c>
      <c r="P8" s="30">
        <f t="shared" ref="P8:P51" si="11">J8*L8*N8</f>
        <v>5.2617459474112218</v>
      </c>
      <c r="Q8" s="29" t="s">
        <v>214</v>
      </c>
      <c r="R8" s="24">
        <f t="shared" ref="R8:R51" si="12">J8*0.034</f>
        <v>0.11654377880184331</v>
      </c>
      <c r="S8" s="24" t="s">
        <v>1</v>
      </c>
      <c r="T8" s="24">
        <f t="shared" si="1"/>
        <v>1.53504</v>
      </c>
      <c r="U8" s="24" t="s">
        <v>1</v>
      </c>
      <c r="V8" s="24">
        <v>0.52300000000000002</v>
      </c>
      <c r="W8" s="24" t="s">
        <v>2</v>
      </c>
      <c r="X8" s="30">
        <f t="shared" si="2"/>
        <v>9.3564366436866359E-2</v>
      </c>
      <c r="Y8" s="29" t="s">
        <v>214</v>
      </c>
      <c r="Z8" s="24">
        <f t="shared" si="3"/>
        <v>0.11654377880184331</v>
      </c>
      <c r="AA8" s="24" t="s">
        <v>1</v>
      </c>
      <c r="AB8" s="24">
        <f t="shared" si="4"/>
        <v>1.53504</v>
      </c>
      <c r="AC8" s="24" t="s">
        <v>1</v>
      </c>
      <c r="AD8" s="24">
        <v>0.504</v>
      </c>
      <c r="AE8" s="24" t="s">
        <v>2</v>
      </c>
      <c r="AF8" s="30">
        <f t="shared" si="5"/>
        <v>9.0165278554838704E-2</v>
      </c>
      <c r="AH8" s="50">
        <f t="shared" si="6"/>
        <v>3.4279999999999999</v>
      </c>
      <c r="AI8" s="13">
        <f t="shared" si="7"/>
        <v>1.53504</v>
      </c>
      <c r="AJ8" s="13">
        <f t="shared" si="8"/>
        <v>1</v>
      </c>
      <c r="AK8" s="13">
        <f t="shared" si="9"/>
        <v>5.2621171200000001</v>
      </c>
    </row>
    <row r="9" spans="2:37" ht="30" customHeight="1" x14ac:dyDescent="0.15">
      <c r="B9" s="94">
        <v>4</v>
      </c>
      <c r="C9" s="87" t="s">
        <v>98</v>
      </c>
      <c r="D9" s="99" t="s">
        <v>99</v>
      </c>
      <c r="E9" s="40" t="s">
        <v>246</v>
      </c>
      <c r="F9" s="29">
        <v>2.9550000000000001</v>
      </c>
      <c r="G9" s="24">
        <v>2.468</v>
      </c>
      <c r="H9" s="24">
        <v>0</v>
      </c>
      <c r="I9" s="30">
        <f t="shared" si="0"/>
        <v>7.2929399999999998</v>
      </c>
      <c r="J9" s="47">
        <v>2.7263157070849378</v>
      </c>
      <c r="K9" s="24" t="s">
        <v>1</v>
      </c>
      <c r="L9" s="24">
        <f t="shared" si="10"/>
        <v>7.2929399999999998</v>
      </c>
      <c r="M9" s="24" t="s">
        <v>1</v>
      </c>
      <c r="N9" s="24">
        <v>1</v>
      </c>
      <c r="O9" s="24" t="s">
        <v>2</v>
      </c>
      <c r="P9" s="30">
        <f t="shared" si="11"/>
        <v>19.882856872828025</v>
      </c>
      <c r="Q9" s="29" t="s">
        <v>215</v>
      </c>
      <c r="R9" s="24">
        <f t="shared" si="12"/>
        <v>9.2694734040887891E-2</v>
      </c>
      <c r="S9" s="24" t="s">
        <v>1</v>
      </c>
      <c r="T9" s="24">
        <f t="shared" si="1"/>
        <v>7.2929399999999998</v>
      </c>
      <c r="U9" s="24" t="s">
        <v>1</v>
      </c>
      <c r="V9" s="24">
        <v>0.26100000000000001</v>
      </c>
      <c r="W9" s="24" t="s">
        <v>2</v>
      </c>
      <c r="X9" s="30">
        <f t="shared" si="2"/>
        <v>0.17644047188947592</v>
      </c>
      <c r="Y9" s="29" t="s">
        <v>215</v>
      </c>
      <c r="Z9" s="24">
        <f t="shared" si="3"/>
        <v>9.2694734040887891E-2</v>
      </c>
      <c r="AA9" s="24" t="s">
        <v>1</v>
      </c>
      <c r="AB9" s="24">
        <f t="shared" si="4"/>
        <v>7.2929399999999998</v>
      </c>
      <c r="AC9" s="24" t="s">
        <v>1</v>
      </c>
      <c r="AD9" s="24">
        <v>0.34100000000000003</v>
      </c>
      <c r="AE9" s="24" t="s">
        <v>2</v>
      </c>
      <c r="AF9" s="30">
        <f t="shared" si="5"/>
        <v>0.23052184258356817</v>
      </c>
      <c r="AH9" s="50">
        <f t="shared" si="6"/>
        <v>2.726</v>
      </c>
      <c r="AI9" s="13">
        <f t="shared" si="7"/>
        <v>7.2929399999999998</v>
      </c>
      <c r="AJ9" s="13">
        <f t="shared" si="8"/>
        <v>1</v>
      </c>
      <c r="AK9" s="13">
        <f t="shared" si="9"/>
        <v>19.880554440000001</v>
      </c>
    </row>
    <row r="10" spans="2:37" ht="30" customHeight="1" x14ac:dyDescent="0.15">
      <c r="B10" s="94">
        <v>5</v>
      </c>
      <c r="C10" s="87" t="s">
        <v>102</v>
      </c>
      <c r="D10" s="99" t="s">
        <v>99</v>
      </c>
      <c r="E10" s="40" t="s">
        <v>246</v>
      </c>
      <c r="F10" s="29">
        <v>2.0099999999999998</v>
      </c>
      <c r="G10" s="24">
        <v>2.468</v>
      </c>
      <c r="H10" s="24">
        <v>0</v>
      </c>
      <c r="I10" s="30">
        <f t="shared" si="0"/>
        <v>4.9606799999999991</v>
      </c>
      <c r="J10" s="47">
        <v>2.7263157070849378</v>
      </c>
      <c r="K10" s="24" t="s">
        <v>1</v>
      </c>
      <c r="L10" s="24">
        <f t="shared" si="10"/>
        <v>4.9606799999999991</v>
      </c>
      <c r="M10" s="24" t="s">
        <v>1</v>
      </c>
      <c r="N10" s="24">
        <v>1</v>
      </c>
      <c r="O10" s="24" t="s">
        <v>2</v>
      </c>
      <c r="P10" s="30">
        <f t="shared" si="11"/>
        <v>13.524379801822107</v>
      </c>
      <c r="Q10" s="29" t="s">
        <v>215</v>
      </c>
      <c r="R10" s="24">
        <f t="shared" si="12"/>
        <v>9.2694734040887891E-2</v>
      </c>
      <c r="S10" s="24" t="s">
        <v>1</v>
      </c>
      <c r="T10" s="24">
        <f t="shared" si="1"/>
        <v>4.9606799999999991</v>
      </c>
      <c r="U10" s="24" t="s">
        <v>1</v>
      </c>
      <c r="V10" s="24">
        <v>0.26100000000000001</v>
      </c>
      <c r="W10" s="24" t="s">
        <v>2</v>
      </c>
      <c r="X10" s="30">
        <f t="shared" si="2"/>
        <v>0.12001534636136937</v>
      </c>
      <c r="Y10" s="29" t="s">
        <v>215</v>
      </c>
      <c r="Z10" s="24">
        <f t="shared" si="3"/>
        <v>9.2694734040887891E-2</v>
      </c>
      <c r="AA10" s="24" t="s">
        <v>1</v>
      </c>
      <c r="AB10" s="24">
        <f t="shared" si="4"/>
        <v>4.9606799999999991</v>
      </c>
      <c r="AC10" s="24" t="s">
        <v>1</v>
      </c>
      <c r="AD10" s="24">
        <v>0.34100000000000003</v>
      </c>
      <c r="AE10" s="24" t="s">
        <v>2</v>
      </c>
      <c r="AF10" s="30">
        <f t="shared" si="5"/>
        <v>0.15680165942232552</v>
      </c>
      <c r="AH10" s="50">
        <f t="shared" si="6"/>
        <v>2.726</v>
      </c>
      <c r="AI10" s="13">
        <f t="shared" si="7"/>
        <v>4.9606799999999991</v>
      </c>
      <c r="AJ10" s="13">
        <f t="shared" si="8"/>
        <v>1</v>
      </c>
      <c r="AK10" s="13">
        <f t="shared" si="9"/>
        <v>13.522813679999997</v>
      </c>
    </row>
    <row r="11" spans="2:37" ht="30" customHeight="1" x14ac:dyDescent="0.15">
      <c r="B11" s="94">
        <v>6</v>
      </c>
      <c r="C11" s="87" t="s">
        <v>103</v>
      </c>
      <c r="D11" s="99" t="s">
        <v>99</v>
      </c>
      <c r="E11" s="40" t="s">
        <v>246</v>
      </c>
      <c r="F11" s="29">
        <v>3.9</v>
      </c>
      <c r="G11" s="24">
        <v>2.468</v>
      </c>
      <c r="H11" s="24">
        <v>0</v>
      </c>
      <c r="I11" s="30">
        <f t="shared" si="0"/>
        <v>9.6251999999999995</v>
      </c>
      <c r="J11" s="47">
        <v>2.7263157070849378</v>
      </c>
      <c r="K11" s="24" t="s">
        <v>1</v>
      </c>
      <c r="L11" s="24">
        <f t="shared" si="10"/>
        <v>9.6251999999999995</v>
      </c>
      <c r="M11" s="24" t="s">
        <v>1</v>
      </c>
      <c r="N11" s="24">
        <v>1</v>
      </c>
      <c r="O11" s="24" t="s">
        <v>2</v>
      </c>
      <c r="P11" s="30">
        <f t="shared" si="11"/>
        <v>26.24133394383394</v>
      </c>
      <c r="Q11" s="29" t="s">
        <v>215</v>
      </c>
      <c r="R11" s="24">
        <f t="shared" si="12"/>
        <v>9.2694734040887891E-2</v>
      </c>
      <c r="S11" s="24" t="s">
        <v>1</v>
      </c>
      <c r="T11" s="24">
        <f t="shared" si="1"/>
        <v>9.6251999999999995</v>
      </c>
      <c r="U11" s="24" t="s">
        <v>1</v>
      </c>
      <c r="V11" s="24">
        <v>0.26100000000000001</v>
      </c>
      <c r="W11" s="24" t="s">
        <v>2</v>
      </c>
      <c r="X11" s="30">
        <f t="shared" si="2"/>
        <v>0.23286559741758242</v>
      </c>
      <c r="Y11" s="29" t="s">
        <v>215</v>
      </c>
      <c r="Z11" s="24">
        <f t="shared" si="3"/>
        <v>9.2694734040887891E-2</v>
      </c>
      <c r="AA11" s="24" t="s">
        <v>1</v>
      </c>
      <c r="AB11" s="24">
        <f t="shared" si="4"/>
        <v>9.6251999999999995</v>
      </c>
      <c r="AC11" s="24" t="s">
        <v>1</v>
      </c>
      <c r="AD11" s="24">
        <v>0.34100000000000003</v>
      </c>
      <c r="AE11" s="24" t="s">
        <v>2</v>
      </c>
      <c r="AF11" s="30">
        <f t="shared" si="5"/>
        <v>0.30424202574481074</v>
      </c>
      <c r="AH11" s="50">
        <f t="shared" si="6"/>
        <v>2.726</v>
      </c>
      <c r="AI11" s="13">
        <f t="shared" si="7"/>
        <v>9.6251999999999995</v>
      </c>
      <c r="AJ11" s="13">
        <f t="shared" si="8"/>
        <v>1</v>
      </c>
      <c r="AK11" s="13">
        <f t="shared" si="9"/>
        <v>26.2382952</v>
      </c>
    </row>
    <row r="12" spans="2:37" ht="30" customHeight="1" x14ac:dyDescent="0.15">
      <c r="B12" s="94">
        <v>7</v>
      </c>
      <c r="C12" s="87" t="s">
        <v>104</v>
      </c>
      <c r="D12" s="99" t="s">
        <v>99</v>
      </c>
      <c r="E12" s="40" t="s">
        <v>246</v>
      </c>
      <c r="F12" s="29">
        <v>0.69599999999999995</v>
      </c>
      <c r="G12" s="24">
        <v>2.468</v>
      </c>
      <c r="H12" s="24">
        <v>0</v>
      </c>
      <c r="I12" s="30">
        <f t="shared" si="0"/>
        <v>1.7177279999999999</v>
      </c>
      <c r="J12" s="47">
        <v>2.7263157070849378</v>
      </c>
      <c r="K12" s="24" t="s">
        <v>1</v>
      </c>
      <c r="L12" s="24">
        <f t="shared" si="10"/>
        <v>1.7177279999999999</v>
      </c>
      <c r="M12" s="24" t="s">
        <v>1</v>
      </c>
      <c r="N12" s="24">
        <v>1</v>
      </c>
      <c r="O12" s="24" t="s">
        <v>2</v>
      </c>
      <c r="P12" s="30">
        <f t="shared" si="11"/>
        <v>4.6830688268995955</v>
      </c>
      <c r="Q12" s="29" t="s">
        <v>215</v>
      </c>
      <c r="R12" s="24">
        <f t="shared" si="12"/>
        <v>9.2694734040887891E-2</v>
      </c>
      <c r="S12" s="24" t="s">
        <v>1</v>
      </c>
      <c r="T12" s="24">
        <f t="shared" si="1"/>
        <v>1.7177279999999999</v>
      </c>
      <c r="U12" s="24" t="s">
        <v>1</v>
      </c>
      <c r="V12" s="24">
        <v>0.26100000000000001</v>
      </c>
      <c r="W12" s="24" t="s">
        <v>2</v>
      </c>
      <c r="X12" s="30">
        <f t="shared" si="2"/>
        <v>4.1557552769907018E-2</v>
      </c>
      <c r="Y12" s="29" t="s">
        <v>215</v>
      </c>
      <c r="Z12" s="24">
        <f t="shared" si="3"/>
        <v>9.2694734040887891E-2</v>
      </c>
      <c r="AA12" s="24" t="s">
        <v>1</v>
      </c>
      <c r="AB12" s="24">
        <f t="shared" si="4"/>
        <v>1.7177279999999999</v>
      </c>
      <c r="AC12" s="24" t="s">
        <v>1</v>
      </c>
      <c r="AD12" s="24">
        <v>0.34100000000000003</v>
      </c>
      <c r="AE12" s="24" t="s">
        <v>2</v>
      </c>
      <c r="AF12" s="30">
        <f t="shared" si="5"/>
        <v>5.4295499979073923E-2</v>
      </c>
      <c r="AH12" s="50">
        <f t="shared" si="6"/>
        <v>2.726</v>
      </c>
      <c r="AI12" s="13">
        <f t="shared" si="7"/>
        <v>1.7177279999999999</v>
      </c>
      <c r="AJ12" s="13">
        <f t="shared" si="8"/>
        <v>1</v>
      </c>
      <c r="AK12" s="13">
        <f t="shared" si="9"/>
        <v>4.6825265279999995</v>
      </c>
    </row>
    <row r="13" spans="2:37" ht="30" customHeight="1" x14ac:dyDescent="0.15">
      <c r="B13" s="94">
        <v>8</v>
      </c>
      <c r="C13" s="87" t="s">
        <v>105</v>
      </c>
      <c r="D13" s="99" t="s">
        <v>93</v>
      </c>
      <c r="E13" s="40" t="s">
        <v>246</v>
      </c>
      <c r="F13" s="29">
        <v>0.78</v>
      </c>
      <c r="G13" s="42">
        <v>1.7</v>
      </c>
      <c r="H13" s="24">
        <v>0</v>
      </c>
      <c r="I13" s="30">
        <f t="shared" si="0"/>
        <v>1.3260000000000001</v>
      </c>
      <c r="J13" s="47">
        <v>2.8985507246376816</v>
      </c>
      <c r="K13" s="24" t="s">
        <v>1</v>
      </c>
      <c r="L13" s="24">
        <f t="shared" si="10"/>
        <v>1.3260000000000001</v>
      </c>
      <c r="M13" s="24" t="s">
        <v>1</v>
      </c>
      <c r="N13" s="24">
        <v>1</v>
      </c>
      <c r="O13" s="24" t="s">
        <v>2</v>
      </c>
      <c r="P13" s="30">
        <f t="shared" si="11"/>
        <v>3.8434782608695661</v>
      </c>
      <c r="Q13" s="29" t="s">
        <v>216</v>
      </c>
      <c r="R13" s="24">
        <f t="shared" si="12"/>
        <v>9.8550724637681178E-2</v>
      </c>
      <c r="S13" s="24" t="s">
        <v>1</v>
      </c>
      <c r="T13" s="24">
        <f t="shared" si="1"/>
        <v>1.3260000000000001</v>
      </c>
      <c r="U13" s="24" t="s">
        <v>1</v>
      </c>
      <c r="V13" s="24">
        <v>0.57899999999999996</v>
      </c>
      <c r="W13" s="24" t="s">
        <v>2</v>
      </c>
      <c r="X13" s="30">
        <f t="shared" si="2"/>
        <v>7.5662713043478269E-2</v>
      </c>
      <c r="Y13" s="29" t="s">
        <v>216</v>
      </c>
      <c r="Z13" s="24">
        <f t="shared" si="3"/>
        <v>9.8550724637681178E-2</v>
      </c>
      <c r="AA13" s="24" t="s">
        <v>1</v>
      </c>
      <c r="AB13" s="24">
        <f t="shared" si="4"/>
        <v>1.3260000000000001</v>
      </c>
      <c r="AC13" s="24" t="s">
        <v>1</v>
      </c>
      <c r="AD13" s="24">
        <v>0.51200000000000001</v>
      </c>
      <c r="AE13" s="24" t="s">
        <v>2</v>
      </c>
      <c r="AF13" s="30">
        <f t="shared" si="5"/>
        <v>6.6907269565217406E-2</v>
      </c>
      <c r="AH13" s="50">
        <f t="shared" si="6"/>
        <v>2.899</v>
      </c>
      <c r="AI13" s="13">
        <f t="shared" si="7"/>
        <v>1.3260000000000001</v>
      </c>
      <c r="AJ13" s="13">
        <f t="shared" si="8"/>
        <v>1</v>
      </c>
      <c r="AK13" s="13">
        <f t="shared" si="9"/>
        <v>3.8440740000000004</v>
      </c>
    </row>
    <row r="14" spans="2:37" ht="30" customHeight="1" x14ac:dyDescent="0.15">
      <c r="B14" s="94">
        <v>9</v>
      </c>
      <c r="C14" s="87" t="s">
        <v>105</v>
      </c>
      <c r="D14" s="99" t="s">
        <v>92</v>
      </c>
      <c r="E14" s="40" t="s">
        <v>246</v>
      </c>
      <c r="F14" s="29">
        <v>0.78</v>
      </c>
      <c r="G14" s="24">
        <f>2.468-1.7</f>
        <v>0.76800000000000002</v>
      </c>
      <c r="H14" s="24">
        <v>0</v>
      </c>
      <c r="I14" s="30">
        <f t="shared" si="0"/>
        <v>0.59904000000000002</v>
      </c>
      <c r="J14" s="47">
        <v>3.4277582000542148</v>
      </c>
      <c r="K14" s="24" t="s">
        <v>1</v>
      </c>
      <c r="L14" s="24">
        <f t="shared" si="10"/>
        <v>0.59904000000000002</v>
      </c>
      <c r="M14" s="24" t="s">
        <v>1</v>
      </c>
      <c r="N14" s="24">
        <v>1</v>
      </c>
      <c r="O14" s="24" t="s">
        <v>2</v>
      </c>
      <c r="P14" s="30">
        <f t="shared" si="11"/>
        <v>2.053364272160477</v>
      </c>
      <c r="Q14" s="29" t="s">
        <v>216</v>
      </c>
      <c r="R14" s="24">
        <f t="shared" si="12"/>
        <v>0.11654377880184331</v>
      </c>
      <c r="S14" s="24" t="s">
        <v>1</v>
      </c>
      <c r="T14" s="24">
        <f t="shared" si="1"/>
        <v>0.59904000000000002</v>
      </c>
      <c r="U14" s="24" t="s">
        <v>1</v>
      </c>
      <c r="V14" s="24">
        <v>0.57899999999999996</v>
      </c>
      <c r="W14" s="24" t="s">
        <v>2</v>
      </c>
      <c r="X14" s="30">
        <f t="shared" si="2"/>
        <v>4.0422529061751152E-2</v>
      </c>
      <c r="Y14" s="29" t="s">
        <v>216</v>
      </c>
      <c r="Z14" s="24">
        <f t="shared" si="3"/>
        <v>0.11654377880184331</v>
      </c>
      <c r="AA14" s="24" t="s">
        <v>1</v>
      </c>
      <c r="AB14" s="24">
        <f t="shared" si="4"/>
        <v>0.59904000000000002</v>
      </c>
      <c r="AC14" s="24" t="s">
        <v>1</v>
      </c>
      <c r="AD14" s="24">
        <v>0.51200000000000001</v>
      </c>
      <c r="AE14" s="24" t="s">
        <v>2</v>
      </c>
      <c r="AF14" s="30">
        <f t="shared" si="5"/>
        <v>3.5744965249769584E-2</v>
      </c>
      <c r="AH14" s="50">
        <f t="shared" si="6"/>
        <v>3.4279999999999999</v>
      </c>
      <c r="AI14" s="13">
        <f t="shared" si="7"/>
        <v>0.59904000000000002</v>
      </c>
      <c r="AJ14" s="13">
        <f t="shared" si="8"/>
        <v>1</v>
      </c>
      <c r="AK14" s="13">
        <f t="shared" si="9"/>
        <v>2.0535091200000002</v>
      </c>
    </row>
    <row r="15" spans="2:37" ht="30" customHeight="1" x14ac:dyDescent="0.15">
      <c r="B15" s="94">
        <v>10</v>
      </c>
      <c r="C15" s="87" t="s">
        <v>106</v>
      </c>
      <c r="D15" s="99" t="s">
        <v>92</v>
      </c>
      <c r="E15" s="40" t="s">
        <v>246</v>
      </c>
      <c r="F15" s="29">
        <v>1.9</v>
      </c>
      <c r="G15" s="24">
        <f>2.468</f>
        <v>2.468</v>
      </c>
      <c r="H15" s="24">
        <f>1.9*(1.7+0.3)</f>
        <v>3.8</v>
      </c>
      <c r="I15" s="30">
        <f t="shared" si="0"/>
        <v>0.88919999999999977</v>
      </c>
      <c r="J15" s="47">
        <v>3.4277582000542148</v>
      </c>
      <c r="K15" s="24" t="s">
        <v>1</v>
      </c>
      <c r="L15" s="24">
        <f t="shared" si="10"/>
        <v>0.88919999999999977</v>
      </c>
      <c r="M15" s="24" t="s">
        <v>1</v>
      </c>
      <c r="N15" s="24">
        <v>1</v>
      </c>
      <c r="O15" s="24" t="s">
        <v>2</v>
      </c>
      <c r="P15" s="30">
        <f t="shared" si="11"/>
        <v>3.0479625914882069</v>
      </c>
      <c r="Q15" s="29" t="s">
        <v>216</v>
      </c>
      <c r="R15" s="24">
        <f t="shared" si="12"/>
        <v>0.11654377880184331</v>
      </c>
      <c r="S15" s="24" t="s">
        <v>1</v>
      </c>
      <c r="T15" s="24">
        <f t="shared" si="1"/>
        <v>0.88919999999999977</v>
      </c>
      <c r="U15" s="24" t="s">
        <v>1</v>
      </c>
      <c r="V15" s="24">
        <v>0.57899999999999996</v>
      </c>
      <c r="W15" s="24" t="s">
        <v>2</v>
      </c>
      <c r="X15" s="30">
        <f t="shared" si="2"/>
        <v>6.0002191576036847E-2</v>
      </c>
      <c r="Y15" s="29" t="s">
        <v>216</v>
      </c>
      <c r="Z15" s="24">
        <f t="shared" si="3"/>
        <v>0.11654377880184331</v>
      </c>
      <c r="AA15" s="24" t="s">
        <v>1</v>
      </c>
      <c r="AB15" s="24">
        <f t="shared" si="4"/>
        <v>0.88919999999999977</v>
      </c>
      <c r="AC15" s="24" t="s">
        <v>1</v>
      </c>
      <c r="AD15" s="24">
        <v>0.51200000000000001</v>
      </c>
      <c r="AE15" s="24" t="s">
        <v>2</v>
      </c>
      <c r="AF15" s="30">
        <f t="shared" si="5"/>
        <v>5.3058932792626717E-2</v>
      </c>
      <c r="AH15" s="50">
        <f t="shared" si="6"/>
        <v>3.4279999999999999</v>
      </c>
      <c r="AI15" s="13">
        <f t="shared" si="7"/>
        <v>0.88919999999999977</v>
      </c>
      <c r="AJ15" s="13">
        <f t="shared" si="8"/>
        <v>1</v>
      </c>
      <c r="AK15" s="13">
        <f t="shared" si="9"/>
        <v>3.0481775999999989</v>
      </c>
    </row>
    <row r="16" spans="2:37" ht="30" customHeight="1" x14ac:dyDescent="0.15">
      <c r="B16" s="94">
        <v>11</v>
      </c>
      <c r="C16" s="87" t="s">
        <v>107</v>
      </c>
      <c r="D16" s="99" t="s">
        <v>97</v>
      </c>
      <c r="E16" s="40" t="s">
        <v>246</v>
      </c>
      <c r="F16" s="29">
        <f>2.955-1.9</f>
        <v>1.0550000000000002</v>
      </c>
      <c r="G16" s="24">
        <f>2.468</f>
        <v>2.468</v>
      </c>
      <c r="H16" s="24">
        <v>0</v>
      </c>
      <c r="I16" s="30">
        <f t="shared" si="0"/>
        <v>2.6037400000000002</v>
      </c>
      <c r="J16" s="47">
        <v>2.7263157070849378</v>
      </c>
      <c r="K16" s="24" t="s">
        <v>1</v>
      </c>
      <c r="L16" s="24">
        <f t="shared" si="10"/>
        <v>2.6037400000000002</v>
      </c>
      <c r="M16" s="24" t="s">
        <v>1</v>
      </c>
      <c r="N16" s="24">
        <v>0.15</v>
      </c>
      <c r="O16" s="24" t="s">
        <v>2</v>
      </c>
      <c r="P16" s="30">
        <f t="shared" si="11"/>
        <v>1.0647925888748004</v>
      </c>
      <c r="Q16" s="29" t="s">
        <v>216</v>
      </c>
      <c r="R16" s="24">
        <f t="shared" si="12"/>
        <v>9.2694734040887891E-2</v>
      </c>
      <c r="S16" s="24" t="s">
        <v>1</v>
      </c>
      <c r="T16" s="24">
        <f t="shared" si="1"/>
        <v>2.6037400000000002</v>
      </c>
      <c r="U16" s="24" t="s">
        <v>1</v>
      </c>
      <c r="V16" s="24">
        <v>0.57899999999999996</v>
      </c>
      <c r="W16" s="24" t="s">
        <v>2</v>
      </c>
      <c r="X16" s="30">
        <f t="shared" si="2"/>
        <v>0.1397433793639288</v>
      </c>
      <c r="Y16" s="29" t="s">
        <v>216</v>
      </c>
      <c r="Z16" s="24">
        <f t="shared" si="3"/>
        <v>9.2694734040887891E-2</v>
      </c>
      <c r="AA16" s="24" t="s">
        <v>1</v>
      </c>
      <c r="AB16" s="24">
        <f t="shared" si="4"/>
        <v>2.6037400000000002</v>
      </c>
      <c r="AC16" s="24" t="s">
        <v>1</v>
      </c>
      <c r="AD16" s="24">
        <v>0.51200000000000001</v>
      </c>
      <c r="AE16" s="24" t="s">
        <v>2</v>
      </c>
      <c r="AF16" s="30">
        <f t="shared" si="5"/>
        <v>0.12357272924755019</v>
      </c>
      <c r="AH16" s="50">
        <f t="shared" si="6"/>
        <v>2.726</v>
      </c>
      <c r="AI16" s="13">
        <f t="shared" si="7"/>
        <v>2.6037400000000002</v>
      </c>
      <c r="AJ16" s="13">
        <f t="shared" si="8"/>
        <v>0.15</v>
      </c>
      <c r="AK16" s="13">
        <f t="shared" si="9"/>
        <v>1.064669286</v>
      </c>
    </row>
    <row r="17" spans="2:37" ht="30" customHeight="1" x14ac:dyDescent="0.15">
      <c r="B17" s="94">
        <v>12</v>
      </c>
      <c r="C17" s="87" t="s">
        <v>108</v>
      </c>
      <c r="D17" s="99" t="s">
        <v>92</v>
      </c>
      <c r="E17" s="40" t="s">
        <v>246</v>
      </c>
      <c r="F17" s="29">
        <v>0.69599999999999995</v>
      </c>
      <c r="G17" s="24">
        <f>2.468</f>
        <v>2.468</v>
      </c>
      <c r="H17" s="24">
        <f>0.59*1.7</f>
        <v>1.0029999999999999</v>
      </c>
      <c r="I17" s="30">
        <f t="shared" si="0"/>
        <v>0.71472800000000003</v>
      </c>
      <c r="J17" s="47">
        <v>3.4277582000542148</v>
      </c>
      <c r="K17" s="24" t="s">
        <v>1</v>
      </c>
      <c r="L17" s="24">
        <f t="shared" si="10"/>
        <v>0.71472800000000003</v>
      </c>
      <c r="M17" s="24" t="s">
        <v>1</v>
      </c>
      <c r="N17" s="24">
        <v>1</v>
      </c>
      <c r="O17" s="24" t="s">
        <v>2</v>
      </c>
      <c r="P17" s="30">
        <f t="shared" si="11"/>
        <v>2.4499147628083491</v>
      </c>
      <c r="Q17" s="29" t="s">
        <v>217</v>
      </c>
      <c r="R17" s="24">
        <f t="shared" si="12"/>
        <v>0.11654377880184331</v>
      </c>
      <c r="S17" s="24" t="s">
        <v>1</v>
      </c>
      <c r="T17" s="24">
        <f t="shared" si="1"/>
        <v>0.71472800000000003</v>
      </c>
      <c r="U17" s="24" t="s">
        <v>1</v>
      </c>
      <c r="V17" s="24">
        <v>0.93600000000000005</v>
      </c>
      <c r="W17" s="24" t="s">
        <v>2</v>
      </c>
      <c r="X17" s="30">
        <f t="shared" si="2"/>
        <v>7.79660874116129E-2</v>
      </c>
      <c r="Y17" s="29" t="s">
        <v>217</v>
      </c>
      <c r="Z17" s="24">
        <f t="shared" si="3"/>
        <v>0.11654377880184331</v>
      </c>
      <c r="AA17" s="24" t="s">
        <v>1</v>
      </c>
      <c r="AB17" s="24">
        <f t="shared" si="4"/>
        <v>0.71472800000000003</v>
      </c>
      <c r="AC17" s="24" t="s">
        <v>1</v>
      </c>
      <c r="AD17" s="24">
        <v>0.434</v>
      </c>
      <c r="AE17" s="24" t="s">
        <v>2</v>
      </c>
      <c r="AF17" s="30">
        <f t="shared" si="5"/>
        <v>3.6150942239999997E-2</v>
      </c>
      <c r="AH17" s="50">
        <f t="shared" si="6"/>
        <v>3.4279999999999999</v>
      </c>
      <c r="AI17" s="13">
        <f t="shared" si="7"/>
        <v>0.71472800000000003</v>
      </c>
      <c r="AJ17" s="13">
        <f t="shared" si="8"/>
        <v>1</v>
      </c>
      <c r="AK17" s="13">
        <f t="shared" si="9"/>
        <v>2.4500875840000003</v>
      </c>
    </row>
    <row r="18" spans="2:37" ht="30" customHeight="1" x14ac:dyDescent="0.15">
      <c r="B18" s="94">
        <v>13</v>
      </c>
      <c r="C18" s="87" t="s">
        <v>108</v>
      </c>
      <c r="D18" s="99" t="s">
        <v>129</v>
      </c>
      <c r="E18" s="40" t="s">
        <v>246</v>
      </c>
      <c r="F18" s="29">
        <v>0.59</v>
      </c>
      <c r="G18" s="24">
        <v>1.7</v>
      </c>
      <c r="H18" s="24">
        <v>0</v>
      </c>
      <c r="I18" s="30">
        <f t="shared" si="0"/>
        <v>1.0029999999999999</v>
      </c>
      <c r="J18" s="47">
        <v>4.6500000000000004</v>
      </c>
      <c r="K18" s="24" t="s">
        <v>1</v>
      </c>
      <c r="L18" s="24">
        <f t="shared" si="10"/>
        <v>1.0029999999999999</v>
      </c>
      <c r="M18" s="24" t="s">
        <v>1</v>
      </c>
      <c r="N18" s="24">
        <v>1</v>
      </c>
      <c r="O18" s="24" t="s">
        <v>2</v>
      </c>
      <c r="P18" s="30">
        <f t="shared" si="11"/>
        <v>4.6639499999999998</v>
      </c>
      <c r="Q18" s="29" t="s">
        <v>217</v>
      </c>
      <c r="R18" s="24">
        <f t="shared" si="12"/>
        <v>0.15810000000000002</v>
      </c>
      <c r="S18" s="24" t="s">
        <v>1</v>
      </c>
      <c r="T18" s="24">
        <f t="shared" si="1"/>
        <v>1.0029999999999999</v>
      </c>
      <c r="U18" s="24" t="s">
        <v>1</v>
      </c>
      <c r="V18" s="24">
        <v>0.93600000000000005</v>
      </c>
      <c r="W18" s="24" t="s">
        <v>2</v>
      </c>
      <c r="X18" s="30">
        <f t="shared" si="2"/>
        <v>0.1484255448</v>
      </c>
      <c r="Y18" s="29" t="s">
        <v>217</v>
      </c>
      <c r="Z18" s="24">
        <f t="shared" si="3"/>
        <v>0.15810000000000002</v>
      </c>
      <c r="AA18" s="24" t="s">
        <v>1</v>
      </c>
      <c r="AB18" s="24">
        <f t="shared" si="4"/>
        <v>1.0029999999999999</v>
      </c>
      <c r="AC18" s="24" t="s">
        <v>1</v>
      </c>
      <c r="AD18" s="24">
        <v>0.434</v>
      </c>
      <c r="AE18" s="24" t="s">
        <v>2</v>
      </c>
      <c r="AF18" s="30">
        <f t="shared" si="5"/>
        <v>6.8821246200000005E-2</v>
      </c>
      <c r="AH18" s="50">
        <f t="shared" si="6"/>
        <v>4.6500000000000004</v>
      </c>
      <c r="AI18" s="13">
        <f t="shared" si="7"/>
        <v>1.0029999999999999</v>
      </c>
      <c r="AJ18" s="13">
        <f t="shared" si="8"/>
        <v>1</v>
      </c>
      <c r="AK18" s="13">
        <f t="shared" si="9"/>
        <v>4.6639499999999998</v>
      </c>
    </row>
    <row r="19" spans="2:37" ht="30" customHeight="1" x14ac:dyDescent="0.15">
      <c r="B19" s="94">
        <v>14</v>
      </c>
      <c r="C19" s="92" t="s">
        <v>163</v>
      </c>
      <c r="D19" s="100" t="s">
        <v>166</v>
      </c>
      <c r="E19" s="40" t="s">
        <v>246</v>
      </c>
      <c r="F19" s="29">
        <f>2.955+2.01</f>
        <v>4.9649999999999999</v>
      </c>
      <c r="G19" s="24">
        <v>0.45</v>
      </c>
      <c r="H19" s="24">
        <v>0</v>
      </c>
      <c r="I19" s="30">
        <f t="shared" si="0"/>
        <v>2.2342499999999998</v>
      </c>
      <c r="J19" s="47">
        <v>3.3898305084745766</v>
      </c>
      <c r="K19" s="24" t="s">
        <v>1</v>
      </c>
      <c r="L19" s="24">
        <f t="shared" si="10"/>
        <v>2.2342499999999998</v>
      </c>
      <c r="M19" s="24" t="s">
        <v>1</v>
      </c>
      <c r="N19" s="24">
        <v>0.7</v>
      </c>
      <c r="O19" s="24" t="s">
        <v>2</v>
      </c>
      <c r="P19" s="30">
        <f t="shared" si="11"/>
        <v>5.301610169491525</v>
      </c>
      <c r="Q19" s="29" t="s">
        <v>220</v>
      </c>
      <c r="R19" s="24">
        <f t="shared" si="12"/>
        <v>0.11525423728813561</v>
      </c>
      <c r="S19" s="24" t="s">
        <v>1</v>
      </c>
      <c r="T19" s="24">
        <f t="shared" si="1"/>
        <v>2.2342499999999998</v>
      </c>
      <c r="U19" s="24" t="s">
        <v>1</v>
      </c>
      <c r="V19" s="24">
        <v>0</v>
      </c>
      <c r="W19" s="24" t="s">
        <v>2</v>
      </c>
      <c r="X19" s="30">
        <f t="shared" si="2"/>
        <v>0</v>
      </c>
      <c r="Y19" s="29" t="s">
        <v>223</v>
      </c>
      <c r="Z19" s="24">
        <f t="shared" si="3"/>
        <v>0.11525423728813561</v>
      </c>
      <c r="AA19" s="24" t="s">
        <v>1</v>
      </c>
      <c r="AB19" s="24">
        <f t="shared" si="4"/>
        <v>2.2342499999999998</v>
      </c>
      <c r="AC19" s="24" t="s">
        <v>1</v>
      </c>
      <c r="AD19" s="24">
        <v>0</v>
      </c>
      <c r="AE19" s="24" t="s">
        <v>2</v>
      </c>
      <c r="AF19" s="30">
        <f t="shared" si="5"/>
        <v>0</v>
      </c>
      <c r="AH19" s="50">
        <f t="shared" si="6"/>
        <v>3.39</v>
      </c>
      <c r="AI19" s="13">
        <f t="shared" si="7"/>
        <v>2.2342499999999998</v>
      </c>
      <c r="AJ19" s="13">
        <f t="shared" si="8"/>
        <v>0.7</v>
      </c>
      <c r="AK19" s="13">
        <f t="shared" si="9"/>
        <v>5.3018752499999993</v>
      </c>
    </row>
    <row r="20" spans="2:37" ht="30" customHeight="1" x14ac:dyDescent="0.15">
      <c r="B20" s="94">
        <v>15</v>
      </c>
      <c r="C20" s="92" t="s">
        <v>164</v>
      </c>
      <c r="D20" s="100" t="s">
        <v>165</v>
      </c>
      <c r="E20" s="40" t="s">
        <v>246</v>
      </c>
      <c r="F20" s="29">
        <f>3.9</f>
        <v>3.9</v>
      </c>
      <c r="G20" s="24">
        <v>0.45</v>
      </c>
      <c r="H20" s="24">
        <v>0</v>
      </c>
      <c r="I20" s="30">
        <f t="shared" si="0"/>
        <v>1.7549999999999999</v>
      </c>
      <c r="J20" s="47">
        <v>2.7263157070849378</v>
      </c>
      <c r="K20" s="24" t="s">
        <v>1</v>
      </c>
      <c r="L20" s="24">
        <f t="shared" si="10"/>
        <v>1.7549999999999999</v>
      </c>
      <c r="M20" s="24" t="s">
        <v>1</v>
      </c>
      <c r="N20" s="24">
        <v>0.7</v>
      </c>
      <c r="O20" s="24" t="s">
        <v>2</v>
      </c>
      <c r="P20" s="30">
        <f t="shared" si="11"/>
        <v>3.3492788461538456</v>
      </c>
      <c r="Q20" s="29" t="s">
        <v>220</v>
      </c>
      <c r="R20" s="24">
        <f t="shared" si="12"/>
        <v>9.2694734040887891E-2</v>
      </c>
      <c r="S20" s="24" t="s">
        <v>1</v>
      </c>
      <c r="T20" s="24">
        <f t="shared" si="1"/>
        <v>1.7549999999999999</v>
      </c>
      <c r="U20" s="24" t="s">
        <v>1</v>
      </c>
      <c r="V20" s="24">
        <v>0</v>
      </c>
      <c r="W20" s="24" t="s">
        <v>2</v>
      </c>
      <c r="X20" s="30">
        <f t="shared" si="2"/>
        <v>0</v>
      </c>
      <c r="Y20" s="29" t="s">
        <v>223</v>
      </c>
      <c r="Z20" s="24">
        <f t="shared" si="3"/>
        <v>9.2694734040887891E-2</v>
      </c>
      <c r="AA20" s="24" t="s">
        <v>1</v>
      </c>
      <c r="AB20" s="24">
        <f t="shared" si="4"/>
        <v>1.7549999999999999</v>
      </c>
      <c r="AC20" s="24" t="s">
        <v>1</v>
      </c>
      <c r="AD20" s="24">
        <v>0</v>
      </c>
      <c r="AE20" s="24" t="s">
        <v>2</v>
      </c>
      <c r="AF20" s="30">
        <f t="shared" si="5"/>
        <v>0</v>
      </c>
      <c r="AH20" s="50">
        <f t="shared" si="6"/>
        <v>2.726</v>
      </c>
      <c r="AI20" s="13">
        <f t="shared" si="7"/>
        <v>1.7549999999999999</v>
      </c>
      <c r="AJ20" s="13">
        <f t="shared" si="8"/>
        <v>0.7</v>
      </c>
      <c r="AK20" s="13">
        <f t="shared" si="9"/>
        <v>3.3488909999999992</v>
      </c>
    </row>
    <row r="21" spans="2:37" ht="30" customHeight="1" x14ac:dyDescent="0.15">
      <c r="B21" s="94">
        <v>16</v>
      </c>
      <c r="C21" s="87" t="s">
        <v>109</v>
      </c>
      <c r="D21" s="99" t="s">
        <v>92</v>
      </c>
      <c r="E21" s="40" t="s">
        <v>246</v>
      </c>
      <c r="F21" s="29">
        <v>1.47</v>
      </c>
      <c r="G21" s="24">
        <v>2.9180000000000001</v>
      </c>
      <c r="H21" s="24">
        <f>1.365*1.7</f>
        <v>2.3205</v>
      </c>
      <c r="I21" s="30">
        <f t="shared" si="0"/>
        <v>1.96896</v>
      </c>
      <c r="J21" s="47">
        <v>3.4277582000542148</v>
      </c>
      <c r="K21" s="24" t="s">
        <v>1</v>
      </c>
      <c r="L21" s="24">
        <f t="shared" si="10"/>
        <v>1.96896</v>
      </c>
      <c r="M21" s="24" t="s">
        <v>1</v>
      </c>
      <c r="N21" s="24">
        <v>1</v>
      </c>
      <c r="O21" s="24" t="s">
        <v>2</v>
      </c>
      <c r="P21" s="30">
        <f t="shared" si="11"/>
        <v>6.7491187855787471</v>
      </c>
      <c r="Q21" s="29" t="s">
        <v>216</v>
      </c>
      <c r="R21" s="24">
        <f t="shared" si="12"/>
        <v>0.11654377880184331</v>
      </c>
      <c r="S21" s="24" t="s">
        <v>1</v>
      </c>
      <c r="T21" s="24">
        <f t="shared" si="1"/>
        <v>1.96896</v>
      </c>
      <c r="U21" s="24" t="s">
        <v>1</v>
      </c>
      <c r="V21" s="24">
        <v>0.57899999999999996</v>
      </c>
      <c r="W21" s="24" t="s">
        <v>2</v>
      </c>
      <c r="X21" s="30">
        <f t="shared" si="2"/>
        <v>0.13286315241290322</v>
      </c>
      <c r="Y21" s="29" t="s">
        <v>216</v>
      </c>
      <c r="Z21" s="24">
        <f t="shared" si="3"/>
        <v>0.11654377880184331</v>
      </c>
      <c r="AA21" s="24" t="s">
        <v>1</v>
      </c>
      <c r="AB21" s="24">
        <f t="shared" si="4"/>
        <v>1.96896</v>
      </c>
      <c r="AC21" s="24" t="s">
        <v>1</v>
      </c>
      <c r="AD21" s="24">
        <v>0.51200000000000001</v>
      </c>
      <c r="AE21" s="24" t="s">
        <v>2</v>
      </c>
      <c r="AF21" s="30">
        <f t="shared" si="5"/>
        <v>0.11748865981935484</v>
      </c>
      <c r="AH21" s="50">
        <f t="shared" si="6"/>
        <v>3.4279999999999999</v>
      </c>
      <c r="AI21" s="13">
        <f t="shared" si="7"/>
        <v>1.96896</v>
      </c>
      <c r="AJ21" s="13">
        <f t="shared" si="8"/>
        <v>1</v>
      </c>
      <c r="AK21" s="13">
        <f t="shared" si="9"/>
        <v>6.7495948800000001</v>
      </c>
    </row>
    <row r="22" spans="2:37" ht="30" customHeight="1" x14ac:dyDescent="0.15">
      <c r="B22" s="94">
        <v>17</v>
      </c>
      <c r="C22" s="87" t="s">
        <v>110</v>
      </c>
      <c r="D22" s="99" t="s">
        <v>92</v>
      </c>
      <c r="E22" s="40" t="s">
        <v>246</v>
      </c>
      <c r="F22" s="29">
        <f>2.955+2.01+3.9</f>
        <v>8.8650000000000002</v>
      </c>
      <c r="G22" s="24">
        <v>2.9180000000000001</v>
      </c>
      <c r="H22" s="24">
        <v>0</v>
      </c>
      <c r="I22" s="30">
        <f t="shared" si="0"/>
        <v>25.868070000000003</v>
      </c>
      <c r="J22" s="47">
        <v>3.4277582000542148</v>
      </c>
      <c r="K22" s="24" t="s">
        <v>1</v>
      </c>
      <c r="L22" s="24">
        <f t="shared" si="10"/>
        <v>25.868070000000003</v>
      </c>
      <c r="M22" s="24" t="s">
        <v>1</v>
      </c>
      <c r="N22" s="24">
        <v>1</v>
      </c>
      <c r="O22" s="24" t="s">
        <v>2</v>
      </c>
      <c r="P22" s="30">
        <f t="shared" si="11"/>
        <v>88.669489062076437</v>
      </c>
      <c r="Q22" s="29" t="s">
        <v>217</v>
      </c>
      <c r="R22" s="24">
        <f t="shared" si="12"/>
        <v>0.11654377880184331</v>
      </c>
      <c r="S22" s="24" t="s">
        <v>1</v>
      </c>
      <c r="T22" s="24">
        <f t="shared" si="1"/>
        <v>25.868070000000003</v>
      </c>
      <c r="U22" s="24" t="s">
        <v>1</v>
      </c>
      <c r="V22" s="24">
        <v>0.93600000000000005</v>
      </c>
      <c r="W22" s="24" t="s">
        <v>2</v>
      </c>
      <c r="X22" s="30">
        <f t="shared" si="2"/>
        <v>2.8218178199115211</v>
      </c>
      <c r="Y22" s="29" t="s">
        <v>217</v>
      </c>
      <c r="Z22" s="24">
        <f t="shared" si="3"/>
        <v>0.11654377880184331</v>
      </c>
      <c r="AA22" s="24" t="s">
        <v>1</v>
      </c>
      <c r="AB22" s="24">
        <f t="shared" si="4"/>
        <v>25.868070000000003</v>
      </c>
      <c r="AC22" s="24" t="s">
        <v>1</v>
      </c>
      <c r="AD22" s="24">
        <v>0.434</v>
      </c>
      <c r="AE22" s="24" t="s">
        <v>2</v>
      </c>
      <c r="AF22" s="30">
        <f t="shared" si="5"/>
        <v>1.3084069806</v>
      </c>
      <c r="AH22" s="50">
        <f t="shared" si="6"/>
        <v>3.4279999999999999</v>
      </c>
      <c r="AI22" s="13">
        <f t="shared" si="7"/>
        <v>25.868070000000003</v>
      </c>
      <c r="AJ22" s="13">
        <f t="shared" si="8"/>
        <v>1</v>
      </c>
      <c r="AK22" s="13">
        <f t="shared" si="9"/>
        <v>88.675743960000005</v>
      </c>
    </row>
    <row r="23" spans="2:37" ht="30" customHeight="1" x14ac:dyDescent="0.15">
      <c r="B23" s="94">
        <v>18</v>
      </c>
      <c r="C23" s="87" t="s">
        <v>111</v>
      </c>
      <c r="D23" s="99" t="s">
        <v>112</v>
      </c>
      <c r="E23" s="40" t="s">
        <v>246</v>
      </c>
      <c r="F23" s="29">
        <v>1.47</v>
      </c>
      <c r="G23" s="24">
        <v>0.95</v>
      </c>
      <c r="H23" s="24">
        <f>0.95*0.95</f>
        <v>0.90249999999999997</v>
      </c>
      <c r="I23" s="30">
        <f t="shared" si="0"/>
        <v>0.49399999999999988</v>
      </c>
      <c r="J23" s="47">
        <v>3.3446054031532038</v>
      </c>
      <c r="K23" s="24" t="s">
        <v>1</v>
      </c>
      <c r="L23" s="24">
        <f t="shared" si="10"/>
        <v>0.49399999999999988</v>
      </c>
      <c r="M23" s="24" t="s">
        <v>1</v>
      </c>
      <c r="N23" s="24">
        <v>1</v>
      </c>
      <c r="O23" s="24" t="s">
        <v>2</v>
      </c>
      <c r="P23" s="30">
        <f t="shared" si="11"/>
        <v>1.6522350691576824</v>
      </c>
      <c r="Q23" s="29" t="s">
        <v>214</v>
      </c>
      <c r="R23" s="24">
        <f t="shared" si="12"/>
        <v>0.11371658370720894</v>
      </c>
      <c r="S23" s="24" t="s">
        <v>1</v>
      </c>
      <c r="T23" s="24">
        <f t="shared" si="1"/>
        <v>0.49399999999999988</v>
      </c>
      <c r="U23" s="24" t="s">
        <v>1</v>
      </c>
      <c r="V23" s="24">
        <v>0.52300000000000002</v>
      </c>
      <c r="W23" s="24" t="s">
        <v>2</v>
      </c>
      <c r="X23" s="30">
        <f t="shared" si="2"/>
        <v>2.938004399976191E-2</v>
      </c>
      <c r="Y23" s="29" t="s">
        <v>214</v>
      </c>
      <c r="Z23" s="24">
        <f t="shared" si="3"/>
        <v>0.11371658370720894</v>
      </c>
      <c r="AA23" s="24" t="s">
        <v>1</v>
      </c>
      <c r="AB23" s="24">
        <f t="shared" si="4"/>
        <v>0.49399999999999988</v>
      </c>
      <c r="AC23" s="24" t="s">
        <v>1</v>
      </c>
      <c r="AD23" s="24">
        <v>0.504</v>
      </c>
      <c r="AE23" s="24" t="s">
        <v>2</v>
      </c>
      <c r="AF23" s="30">
        <f t="shared" si="5"/>
        <v>2.8312700145086047E-2</v>
      </c>
      <c r="AH23" s="50">
        <f t="shared" si="6"/>
        <v>3.3450000000000002</v>
      </c>
      <c r="AI23" s="13">
        <f t="shared" si="7"/>
        <v>0.49399999999999988</v>
      </c>
      <c r="AJ23" s="13">
        <f t="shared" si="8"/>
        <v>1</v>
      </c>
      <c r="AK23" s="13">
        <f t="shared" si="9"/>
        <v>1.6524299999999996</v>
      </c>
    </row>
    <row r="24" spans="2:37" ht="30" customHeight="1" x14ac:dyDescent="0.15">
      <c r="B24" s="94">
        <v>19</v>
      </c>
      <c r="C24" s="87" t="s">
        <v>111</v>
      </c>
      <c r="D24" s="99" t="s">
        <v>92</v>
      </c>
      <c r="E24" s="40" t="s">
        <v>246</v>
      </c>
      <c r="F24" s="29">
        <v>1.47</v>
      </c>
      <c r="G24" s="24">
        <f>2.918-0.95</f>
        <v>1.9680000000000002</v>
      </c>
      <c r="H24" s="24">
        <f>0.95*(1.7-0.95)</f>
        <v>0.71249999999999991</v>
      </c>
      <c r="I24" s="30">
        <f t="shared" si="0"/>
        <v>2.1804600000000005</v>
      </c>
      <c r="J24" s="47">
        <v>3.4277582000542148</v>
      </c>
      <c r="K24" s="24" t="s">
        <v>1</v>
      </c>
      <c r="L24" s="24">
        <f t="shared" si="10"/>
        <v>2.1804600000000005</v>
      </c>
      <c r="M24" s="24" t="s">
        <v>1</v>
      </c>
      <c r="N24" s="24">
        <v>1</v>
      </c>
      <c r="O24" s="24" t="s">
        <v>2</v>
      </c>
      <c r="P24" s="30">
        <f t="shared" si="11"/>
        <v>7.4740896448902152</v>
      </c>
      <c r="Q24" s="29" t="s">
        <v>214</v>
      </c>
      <c r="R24" s="24">
        <f t="shared" si="12"/>
        <v>0.11654377880184331</v>
      </c>
      <c r="S24" s="24" t="s">
        <v>1</v>
      </c>
      <c r="T24" s="24">
        <f t="shared" si="1"/>
        <v>2.1804600000000005</v>
      </c>
      <c r="U24" s="24" t="s">
        <v>1</v>
      </c>
      <c r="V24" s="24">
        <v>0.52300000000000002</v>
      </c>
      <c r="W24" s="24" t="s">
        <v>2</v>
      </c>
      <c r="X24" s="30">
        <f t="shared" si="2"/>
        <v>0.13290426206543782</v>
      </c>
      <c r="Y24" s="29" t="s">
        <v>214</v>
      </c>
      <c r="Z24" s="24">
        <f t="shared" si="3"/>
        <v>0.11654377880184331</v>
      </c>
      <c r="AA24" s="24" t="s">
        <v>1</v>
      </c>
      <c r="AB24" s="24">
        <f t="shared" si="4"/>
        <v>2.1804600000000005</v>
      </c>
      <c r="AC24" s="24" t="s">
        <v>1</v>
      </c>
      <c r="AD24" s="24">
        <v>0.504</v>
      </c>
      <c r="AE24" s="24" t="s">
        <v>2</v>
      </c>
      <c r="AF24" s="30">
        <f t="shared" si="5"/>
        <v>0.12807600015483872</v>
      </c>
      <c r="AH24" s="50">
        <f t="shared" si="6"/>
        <v>3.4279999999999999</v>
      </c>
      <c r="AI24" s="13">
        <f t="shared" si="7"/>
        <v>2.1804600000000005</v>
      </c>
      <c r="AJ24" s="13">
        <f t="shared" si="8"/>
        <v>1</v>
      </c>
      <c r="AK24" s="13">
        <f t="shared" si="9"/>
        <v>7.4746168800000019</v>
      </c>
    </row>
    <row r="25" spans="2:37" ht="30" customHeight="1" x14ac:dyDescent="0.15">
      <c r="B25" s="94">
        <v>20</v>
      </c>
      <c r="C25" s="87" t="s">
        <v>115</v>
      </c>
      <c r="D25" s="99" t="s">
        <v>92</v>
      </c>
      <c r="E25" s="40" t="s">
        <v>246</v>
      </c>
      <c r="F25" s="29">
        <v>2.9550000000000001</v>
      </c>
      <c r="G25" s="24">
        <v>2.1819999999999999</v>
      </c>
      <c r="H25" s="24">
        <f>2.85*1.3</f>
        <v>3.7050000000000001</v>
      </c>
      <c r="I25" s="30">
        <f t="shared" si="0"/>
        <v>2.7428099999999995</v>
      </c>
      <c r="J25" s="47">
        <v>3.4277582000542148</v>
      </c>
      <c r="K25" s="24" t="s">
        <v>1</v>
      </c>
      <c r="L25" s="24">
        <f t="shared" si="10"/>
        <v>2.7428099999999995</v>
      </c>
      <c r="M25" s="24" t="s">
        <v>1</v>
      </c>
      <c r="N25" s="24">
        <v>1</v>
      </c>
      <c r="O25" s="24" t="s">
        <v>2</v>
      </c>
      <c r="P25" s="30">
        <f t="shared" si="11"/>
        <v>9.4016894686906998</v>
      </c>
      <c r="Q25" s="29" t="s">
        <v>214</v>
      </c>
      <c r="R25" s="24">
        <f t="shared" si="12"/>
        <v>0.11654377880184331</v>
      </c>
      <c r="S25" s="24" t="s">
        <v>1</v>
      </c>
      <c r="T25" s="24">
        <f t="shared" si="1"/>
        <v>2.7428099999999995</v>
      </c>
      <c r="U25" s="24" t="s">
        <v>1</v>
      </c>
      <c r="V25" s="24">
        <v>0.52300000000000002</v>
      </c>
      <c r="W25" s="24" t="s">
        <v>2</v>
      </c>
      <c r="X25" s="30">
        <f t="shared" si="2"/>
        <v>0.16718084213225803</v>
      </c>
      <c r="Y25" s="29" t="s">
        <v>214</v>
      </c>
      <c r="Z25" s="24">
        <f t="shared" si="3"/>
        <v>0.11654377880184331</v>
      </c>
      <c r="AA25" s="24" t="s">
        <v>1</v>
      </c>
      <c r="AB25" s="24">
        <f t="shared" si="4"/>
        <v>2.7428099999999995</v>
      </c>
      <c r="AC25" s="24" t="s">
        <v>1</v>
      </c>
      <c r="AD25" s="24">
        <v>0.504</v>
      </c>
      <c r="AE25" s="24" t="s">
        <v>2</v>
      </c>
      <c r="AF25" s="30">
        <f t="shared" si="5"/>
        <v>0.16110735073548382</v>
      </c>
      <c r="AH25" s="50">
        <f t="shared" si="6"/>
        <v>3.4279999999999999</v>
      </c>
      <c r="AI25" s="13">
        <f t="shared" si="7"/>
        <v>2.7428099999999995</v>
      </c>
      <c r="AJ25" s="13">
        <f t="shared" si="8"/>
        <v>1</v>
      </c>
      <c r="AK25" s="13">
        <f t="shared" si="9"/>
        <v>9.4023526799999981</v>
      </c>
    </row>
    <row r="26" spans="2:37" ht="30" customHeight="1" x14ac:dyDescent="0.15">
      <c r="B26" s="94">
        <v>21</v>
      </c>
      <c r="C26" s="87" t="s">
        <v>116</v>
      </c>
      <c r="D26" s="99" t="s">
        <v>92</v>
      </c>
      <c r="E26" s="40" t="s">
        <v>246</v>
      </c>
      <c r="F26" s="29">
        <v>0.78</v>
      </c>
      <c r="G26" s="24">
        <f>2.182-1.3</f>
        <v>0.8819999999999999</v>
      </c>
      <c r="H26" s="24">
        <v>0</v>
      </c>
      <c r="I26" s="30">
        <f t="shared" si="0"/>
        <v>0.6879599999999999</v>
      </c>
      <c r="J26" s="47">
        <v>3.4277582000542148</v>
      </c>
      <c r="K26" s="24" t="s">
        <v>1</v>
      </c>
      <c r="L26" s="24">
        <f t="shared" si="10"/>
        <v>0.6879599999999999</v>
      </c>
      <c r="M26" s="24" t="s">
        <v>1</v>
      </c>
      <c r="N26" s="24">
        <v>1</v>
      </c>
      <c r="O26" s="24" t="s">
        <v>2</v>
      </c>
      <c r="P26" s="30">
        <f t="shared" si="11"/>
        <v>2.3581605313092973</v>
      </c>
      <c r="Q26" s="29" t="s">
        <v>214</v>
      </c>
      <c r="R26" s="24">
        <f t="shared" si="12"/>
        <v>0.11654377880184331</v>
      </c>
      <c r="S26" s="24" t="s">
        <v>1</v>
      </c>
      <c r="T26" s="24">
        <f t="shared" si="1"/>
        <v>0.6879599999999999</v>
      </c>
      <c r="U26" s="24" t="s">
        <v>1</v>
      </c>
      <c r="V26" s="24">
        <v>0.52300000000000002</v>
      </c>
      <c r="W26" s="24" t="s">
        <v>2</v>
      </c>
      <c r="X26" s="30">
        <f t="shared" si="2"/>
        <v>4.1932810567741931E-2</v>
      </c>
      <c r="Y26" s="29" t="s">
        <v>214</v>
      </c>
      <c r="Z26" s="24">
        <f t="shared" si="3"/>
        <v>0.11654377880184331</v>
      </c>
      <c r="AA26" s="24" t="s">
        <v>1</v>
      </c>
      <c r="AB26" s="24">
        <f t="shared" si="4"/>
        <v>0.6879599999999999</v>
      </c>
      <c r="AC26" s="24" t="s">
        <v>1</v>
      </c>
      <c r="AD26" s="24">
        <v>0.504</v>
      </c>
      <c r="AE26" s="24" t="s">
        <v>2</v>
      </c>
      <c r="AF26" s="30">
        <f t="shared" si="5"/>
        <v>4.0409438864516124E-2</v>
      </c>
      <c r="AH26" s="50">
        <f t="shared" si="6"/>
        <v>3.4279999999999999</v>
      </c>
      <c r="AI26" s="13">
        <f t="shared" si="7"/>
        <v>0.6879599999999999</v>
      </c>
      <c r="AJ26" s="13">
        <f t="shared" si="8"/>
        <v>1</v>
      </c>
      <c r="AK26" s="13">
        <f t="shared" si="9"/>
        <v>2.3583268799999995</v>
      </c>
    </row>
    <row r="27" spans="2:37" ht="30" customHeight="1" x14ac:dyDescent="0.15">
      <c r="B27" s="94">
        <v>22</v>
      </c>
      <c r="C27" s="87" t="s">
        <v>116</v>
      </c>
      <c r="D27" s="99" t="s">
        <v>93</v>
      </c>
      <c r="E27" s="40" t="s">
        <v>246</v>
      </c>
      <c r="F27" s="29">
        <v>0.78</v>
      </c>
      <c r="G27" s="24">
        <v>1.3</v>
      </c>
      <c r="H27" s="24">
        <v>0</v>
      </c>
      <c r="I27" s="30">
        <f t="shared" si="0"/>
        <v>1.014</v>
      </c>
      <c r="J27" s="47">
        <v>2.8985507246376816</v>
      </c>
      <c r="K27" s="24" t="s">
        <v>1</v>
      </c>
      <c r="L27" s="24">
        <f t="shared" si="10"/>
        <v>1.014</v>
      </c>
      <c r="M27" s="24" t="s">
        <v>1</v>
      </c>
      <c r="N27" s="24">
        <v>1</v>
      </c>
      <c r="O27" s="24" t="s">
        <v>2</v>
      </c>
      <c r="P27" s="30">
        <f t="shared" si="11"/>
        <v>2.939130434782609</v>
      </c>
      <c r="Q27" s="29" t="s">
        <v>214</v>
      </c>
      <c r="R27" s="24">
        <f t="shared" si="12"/>
        <v>9.8550724637681178E-2</v>
      </c>
      <c r="S27" s="24" t="s">
        <v>1</v>
      </c>
      <c r="T27" s="24">
        <f t="shared" si="1"/>
        <v>1.014</v>
      </c>
      <c r="U27" s="24" t="s">
        <v>1</v>
      </c>
      <c r="V27" s="24">
        <v>0.52300000000000002</v>
      </c>
      <c r="W27" s="24" t="s">
        <v>2</v>
      </c>
      <c r="X27" s="30">
        <f t="shared" si="2"/>
        <v>5.2263617391304355E-2</v>
      </c>
      <c r="Y27" s="29" t="s">
        <v>214</v>
      </c>
      <c r="Z27" s="24">
        <f t="shared" si="3"/>
        <v>9.8550724637681178E-2</v>
      </c>
      <c r="AA27" s="24" t="s">
        <v>1</v>
      </c>
      <c r="AB27" s="24">
        <f t="shared" si="4"/>
        <v>1.014</v>
      </c>
      <c r="AC27" s="24" t="s">
        <v>1</v>
      </c>
      <c r="AD27" s="24">
        <v>0.504</v>
      </c>
      <c r="AE27" s="24" t="s">
        <v>2</v>
      </c>
      <c r="AF27" s="30">
        <f t="shared" si="5"/>
        <v>5.0364939130434792E-2</v>
      </c>
      <c r="AH27" s="50">
        <f t="shared" si="6"/>
        <v>2.899</v>
      </c>
      <c r="AI27" s="13">
        <f t="shared" si="7"/>
        <v>1.014</v>
      </c>
      <c r="AJ27" s="13">
        <f t="shared" si="8"/>
        <v>1</v>
      </c>
      <c r="AK27" s="13">
        <f t="shared" si="9"/>
        <v>2.9395860000000003</v>
      </c>
    </row>
    <row r="28" spans="2:37" ht="30" customHeight="1" x14ac:dyDescent="0.15">
      <c r="B28" s="94">
        <v>23</v>
      </c>
      <c r="C28" s="87" t="s">
        <v>117</v>
      </c>
      <c r="D28" s="99" t="s">
        <v>99</v>
      </c>
      <c r="E28" s="40" t="s">
        <v>246</v>
      </c>
      <c r="F28" s="29">
        <v>2.9550000000000001</v>
      </c>
      <c r="G28" s="24">
        <v>2.1819999999999999</v>
      </c>
      <c r="H28" s="24">
        <v>0</v>
      </c>
      <c r="I28" s="30">
        <f t="shared" ref="I28:I44" si="13">F28*G28-H28</f>
        <v>6.4478099999999996</v>
      </c>
      <c r="J28" s="47">
        <v>2.7263157070849378</v>
      </c>
      <c r="K28" s="24" t="s">
        <v>1</v>
      </c>
      <c r="L28" s="24">
        <f t="shared" si="10"/>
        <v>6.4478099999999996</v>
      </c>
      <c r="M28" s="24" t="s">
        <v>1</v>
      </c>
      <c r="N28" s="24">
        <v>1</v>
      </c>
      <c r="O28" s="24" t="s">
        <v>2</v>
      </c>
      <c r="P28" s="30">
        <f t="shared" si="11"/>
        <v>17.57876567929933</v>
      </c>
      <c r="Q28" s="29" t="s">
        <v>215</v>
      </c>
      <c r="R28" s="24">
        <f t="shared" si="12"/>
        <v>9.2694734040887891E-2</v>
      </c>
      <c r="S28" s="24" t="s">
        <v>1</v>
      </c>
      <c r="T28" s="24">
        <f t="shared" si="1"/>
        <v>6.4478099999999996</v>
      </c>
      <c r="U28" s="24" t="s">
        <v>1</v>
      </c>
      <c r="V28" s="24">
        <v>0.26100000000000001</v>
      </c>
      <c r="W28" s="24" t="s">
        <v>2</v>
      </c>
      <c r="X28" s="30">
        <f t="shared" si="2"/>
        <v>0.15599396663810228</v>
      </c>
      <c r="Y28" s="29" t="s">
        <v>215</v>
      </c>
      <c r="Z28" s="24">
        <f t="shared" si="3"/>
        <v>9.2694734040887891E-2</v>
      </c>
      <c r="AA28" s="24" t="s">
        <v>1</v>
      </c>
      <c r="AB28" s="24">
        <f t="shared" si="4"/>
        <v>6.4478099999999996</v>
      </c>
      <c r="AC28" s="24" t="s">
        <v>1</v>
      </c>
      <c r="AD28" s="24">
        <v>0.34100000000000003</v>
      </c>
      <c r="AE28" s="24" t="s">
        <v>2</v>
      </c>
      <c r="AF28" s="30">
        <f t="shared" si="5"/>
        <v>0.20380820928579646</v>
      </c>
      <c r="AH28" s="50">
        <f t="shared" si="6"/>
        <v>2.726</v>
      </c>
      <c r="AI28" s="13">
        <f t="shared" si="7"/>
        <v>6.4478099999999996</v>
      </c>
      <c r="AJ28" s="13">
        <f t="shared" si="8"/>
        <v>1</v>
      </c>
      <c r="AK28" s="13">
        <f t="shared" si="9"/>
        <v>17.576730059999999</v>
      </c>
    </row>
    <row r="29" spans="2:37" ht="30" customHeight="1" x14ac:dyDescent="0.15">
      <c r="B29" s="94">
        <v>24</v>
      </c>
      <c r="C29" s="87" t="s">
        <v>118</v>
      </c>
      <c r="D29" s="99" t="s">
        <v>99</v>
      </c>
      <c r="E29" s="40" t="s">
        <v>246</v>
      </c>
      <c r="F29" s="29">
        <v>2.0099999999999998</v>
      </c>
      <c r="G29" s="24">
        <v>2.1819999999999999</v>
      </c>
      <c r="H29" s="24">
        <v>0</v>
      </c>
      <c r="I29" s="30">
        <f t="shared" si="13"/>
        <v>4.3858199999999998</v>
      </c>
      <c r="J29" s="47">
        <v>2.7263157070849378</v>
      </c>
      <c r="K29" s="24" t="s">
        <v>1</v>
      </c>
      <c r="L29" s="24">
        <f t="shared" si="10"/>
        <v>4.3858199999999998</v>
      </c>
      <c r="M29" s="24" t="s">
        <v>1</v>
      </c>
      <c r="N29" s="24">
        <v>1</v>
      </c>
      <c r="O29" s="24" t="s">
        <v>2</v>
      </c>
      <c r="P29" s="30">
        <f t="shared" si="11"/>
        <v>11.957129954447261</v>
      </c>
      <c r="Q29" s="29" t="s">
        <v>215</v>
      </c>
      <c r="R29" s="24">
        <f t="shared" si="12"/>
        <v>9.2694734040887891E-2</v>
      </c>
      <c r="S29" s="24" t="s">
        <v>1</v>
      </c>
      <c r="T29" s="24">
        <f t="shared" si="1"/>
        <v>4.3858199999999998</v>
      </c>
      <c r="U29" s="24" t="s">
        <v>1</v>
      </c>
      <c r="V29" s="24">
        <v>0.26100000000000001</v>
      </c>
      <c r="W29" s="24" t="s">
        <v>2</v>
      </c>
      <c r="X29" s="30">
        <f t="shared" si="2"/>
        <v>0.10610757121576501</v>
      </c>
      <c r="Y29" s="29" t="s">
        <v>215</v>
      </c>
      <c r="Z29" s="24">
        <f t="shared" si="3"/>
        <v>9.2694734040887891E-2</v>
      </c>
      <c r="AA29" s="24" t="s">
        <v>1</v>
      </c>
      <c r="AB29" s="24">
        <f t="shared" si="4"/>
        <v>4.3858199999999998</v>
      </c>
      <c r="AC29" s="24" t="s">
        <v>1</v>
      </c>
      <c r="AD29" s="24">
        <v>0.34100000000000003</v>
      </c>
      <c r="AE29" s="24" t="s">
        <v>2</v>
      </c>
      <c r="AF29" s="30">
        <f t="shared" si="5"/>
        <v>0.13863096469186156</v>
      </c>
      <c r="AH29" s="50">
        <f t="shared" si="6"/>
        <v>2.726</v>
      </c>
      <c r="AI29" s="13">
        <f t="shared" si="7"/>
        <v>4.3858199999999998</v>
      </c>
      <c r="AJ29" s="13">
        <f t="shared" si="8"/>
        <v>1</v>
      </c>
      <c r="AK29" s="13">
        <f t="shared" si="9"/>
        <v>11.95574532</v>
      </c>
    </row>
    <row r="30" spans="2:37" ht="30" customHeight="1" x14ac:dyDescent="0.15">
      <c r="B30" s="94">
        <v>25</v>
      </c>
      <c r="C30" s="87" t="s">
        <v>119</v>
      </c>
      <c r="D30" s="99" t="s">
        <v>99</v>
      </c>
      <c r="E30" s="40" t="s">
        <v>246</v>
      </c>
      <c r="F30" s="29">
        <v>3.9</v>
      </c>
      <c r="G30" s="24">
        <v>2.1819999999999999</v>
      </c>
      <c r="H30" s="24">
        <v>0</v>
      </c>
      <c r="I30" s="30">
        <f t="shared" si="13"/>
        <v>8.5098000000000003</v>
      </c>
      <c r="J30" s="47">
        <v>2.7263157070849378</v>
      </c>
      <c r="K30" s="24" t="s">
        <v>1</v>
      </c>
      <c r="L30" s="24">
        <f t="shared" si="10"/>
        <v>8.5098000000000003</v>
      </c>
      <c r="M30" s="24" t="s">
        <v>1</v>
      </c>
      <c r="N30" s="24">
        <v>1</v>
      </c>
      <c r="O30" s="24" t="s">
        <v>2</v>
      </c>
      <c r="P30" s="30">
        <f t="shared" si="11"/>
        <v>23.200401404151403</v>
      </c>
      <c r="Q30" s="29" t="s">
        <v>215</v>
      </c>
      <c r="R30" s="24">
        <f t="shared" si="12"/>
        <v>9.2694734040887891E-2</v>
      </c>
      <c r="S30" s="24" t="s">
        <v>1</v>
      </c>
      <c r="T30" s="24">
        <f t="shared" si="1"/>
        <v>8.5098000000000003</v>
      </c>
      <c r="U30" s="24" t="s">
        <v>1</v>
      </c>
      <c r="V30" s="24">
        <v>0.26100000000000001</v>
      </c>
      <c r="W30" s="24" t="s">
        <v>2</v>
      </c>
      <c r="X30" s="30">
        <f t="shared" si="2"/>
        <v>0.20588036206043958</v>
      </c>
      <c r="Y30" s="29" t="s">
        <v>215</v>
      </c>
      <c r="Z30" s="24">
        <f t="shared" si="3"/>
        <v>9.2694734040887891E-2</v>
      </c>
      <c r="AA30" s="24" t="s">
        <v>1</v>
      </c>
      <c r="AB30" s="24">
        <f t="shared" si="4"/>
        <v>8.5098000000000003</v>
      </c>
      <c r="AC30" s="24" t="s">
        <v>1</v>
      </c>
      <c r="AD30" s="24">
        <v>0.34100000000000003</v>
      </c>
      <c r="AE30" s="24" t="s">
        <v>2</v>
      </c>
      <c r="AF30" s="30">
        <f t="shared" si="5"/>
        <v>0.26898545387973144</v>
      </c>
      <c r="AH30" s="50">
        <f t="shared" si="6"/>
        <v>2.726</v>
      </c>
      <c r="AI30" s="13">
        <f t="shared" si="7"/>
        <v>8.5098000000000003</v>
      </c>
      <c r="AJ30" s="13">
        <f t="shared" si="8"/>
        <v>1</v>
      </c>
      <c r="AK30" s="13">
        <f t="shared" si="9"/>
        <v>23.1977148</v>
      </c>
    </row>
    <row r="31" spans="2:37" ht="30" customHeight="1" x14ac:dyDescent="0.15">
      <c r="B31" s="94">
        <v>26</v>
      </c>
      <c r="C31" s="87" t="s">
        <v>120</v>
      </c>
      <c r="D31" s="99" t="s">
        <v>99</v>
      </c>
      <c r="E31" s="40" t="s">
        <v>246</v>
      </c>
      <c r="F31" s="29">
        <v>0.69599999999999995</v>
      </c>
      <c r="G31" s="24">
        <v>2.1819999999999999</v>
      </c>
      <c r="H31" s="24">
        <v>0</v>
      </c>
      <c r="I31" s="30">
        <f t="shared" si="13"/>
        <v>1.5186719999999998</v>
      </c>
      <c r="J31" s="47">
        <v>2.7263157070849378</v>
      </c>
      <c r="K31" s="24" t="s">
        <v>1</v>
      </c>
      <c r="L31" s="24">
        <f t="shared" si="10"/>
        <v>1.5186719999999998</v>
      </c>
      <c r="M31" s="24" t="s">
        <v>1</v>
      </c>
      <c r="N31" s="24">
        <v>1</v>
      </c>
      <c r="O31" s="24" t="s">
        <v>2</v>
      </c>
      <c r="P31" s="30">
        <f t="shared" si="11"/>
        <v>4.1403793275100957</v>
      </c>
      <c r="Q31" s="29" t="s">
        <v>215</v>
      </c>
      <c r="R31" s="24">
        <f t="shared" si="12"/>
        <v>9.2694734040887891E-2</v>
      </c>
      <c r="S31" s="24" t="s">
        <v>1</v>
      </c>
      <c r="T31" s="24">
        <f t="shared" si="1"/>
        <v>1.5186719999999998</v>
      </c>
      <c r="U31" s="24" t="s">
        <v>1</v>
      </c>
      <c r="V31" s="24">
        <v>0.26100000000000001</v>
      </c>
      <c r="W31" s="24" t="s">
        <v>2</v>
      </c>
      <c r="X31" s="30">
        <f t="shared" si="2"/>
        <v>3.6741726152324593E-2</v>
      </c>
      <c r="Y31" s="29" t="s">
        <v>215</v>
      </c>
      <c r="Z31" s="24">
        <f t="shared" si="3"/>
        <v>9.2694734040887891E-2</v>
      </c>
      <c r="AA31" s="24" t="s">
        <v>1</v>
      </c>
      <c r="AB31" s="24">
        <f t="shared" si="4"/>
        <v>1.5186719999999998</v>
      </c>
      <c r="AC31" s="24" t="s">
        <v>1</v>
      </c>
      <c r="AD31" s="24">
        <v>0.34100000000000003</v>
      </c>
      <c r="AE31" s="24" t="s">
        <v>2</v>
      </c>
      <c r="AF31" s="30">
        <f t="shared" si="5"/>
        <v>4.8003557923152057E-2</v>
      </c>
      <c r="AH31" s="50">
        <f t="shared" si="6"/>
        <v>2.726</v>
      </c>
      <c r="AI31" s="13">
        <f t="shared" si="7"/>
        <v>1.5186719999999998</v>
      </c>
      <c r="AJ31" s="13">
        <f t="shared" si="8"/>
        <v>1</v>
      </c>
      <c r="AK31" s="13">
        <f t="shared" si="9"/>
        <v>4.1398998719999991</v>
      </c>
    </row>
    <row r="32" spans="2:37" ht="30" customHeight="1" x14ac:dyDescent="0.15">
      <c r="B32" s="94">
        <v>27</v>
      </c>
      <c r="C32" s="87" t="s">
        <v>122</v>
      </c>
      <c r="D32" s="99" t="s">
        <v>92</v>
      </c>
      <c r="E32" s="40" t="s">
        <v>246</v>
      </c>
      <c r="F32" s="29">
        <v>0.78</v>
      </c>
      <c r="G32" s="24">
        <f>2.182-1.3</f>
        <v>0.8819999999999999</v>
      </c>
      <c r="H32" s="24">
        <v>0</v>
      </c>
      <c r="I32" s="30">
        <f t="shared" si="13"/>
        <v>0.6879599999999999</v>
      </c>
      <c r="J32" s="47">
        <v>3.4277582000542148</v>
      </c>
      <c r="K32" s="24" t="s">
        <v>1</v>
      </c>
      <c r="L32" s="24">
        <f t="shared" si="10"/>
        <v>0.6879599999999999</v>
      </c>
      <c r="M32" s="24" t="s">
        <v>1</v>
      </c>
      <c r="N32" s="24">
        <v>1</v>
      </c>
      <c r="O32" s="24" t="s">
        <v>2</v>
      </c>
      <c r="P32" s="30">
        <f t="shared" si="11"/>
        <v>2.3581605313092973</v>
      </c>
      <c r="Q32" s="29" t="s">
        <v>216</v>
      </c>
      <c r="R32" s="24">
        <f t="shared" si="12"/>
        <v>0.11654377880184331</v>
      </c>
      <c r="S32" s="24" t="s">
        <v>1</v>
      </c>
      <c r="T32" s="24">
        <f t="shared" si="1"/>
        <v>0.6879599999999999</v>
      </c>
      <c r="U32" s="24" t="s">
        <v>1</v>
      </c>
      <c r="V32" s="24">
        <v>0.57899999999999996</v>
      </c>
      <c r="W32" s="24" t="s">
        <v>2</v>
      </c>
      <c r="X32" s="30">
        <f t="shared" si="2"/>
        <v>4.6422748219354833E-2</v>
      </c>
      <c r="Y32" s="29" t="s">
        <v>216</v>
      </c>
      <c r="Z32" s="24">
        <f t="shared" si="3"/>
        <v>0.11654377880184331</v>
      </c>
      <c r="AA32" s="24" t="s">
        <v>1</v>
      </c>
      <c r="AB32" s="24">
        <f t="shared" si="4"/>
        <v>0.6879599999999999</v>
      </c>
      <c r="AC32" s="24" t="s">
        <v>1</v>
      </c>
      <c r="AD32" s="24">
        <v>0.51200000000000001</v>
      </c>
      <c r="AE32" s="24" t="s">
        <v>2</v>
      </c>
      <c r="AF32" s="30">
        <f t="shared" si="5"/>
        <v>4.1050858529032258E-2</v>
      </c>
      <c r="AH32" s="50">
        <f t="shared" si="6"/>
        <v>3.4279999999999999</v>
      </c>
      <c r="AI32" s="13">
        <f t="shared" si="7"/>
        <v>0.6879599999999999</v>
      </c>
      <c r="AJ32" s="13">
        <f t="shared" si="8"/>
        <v>1</v>
      </c>
      <c r="AK32" s="13">
        <f t="shared" si="9"/>
        <v>2.3583268799999995</v>
      </c>
    </row>
    <row r="33" spans="2:37" ht="30" customHeight="1" x14ac:dyDescent="0.15">
      <c r="B33" s="94">
        <v>28</v>
      </c>
      <c r="C33" s="87" t="s">
        <v>122</v>
      </c>
      <c r="D33" s="99" t="s">
        <v>93</v>
      </c>
      <c r="E33" s="40" t="s">
        <v>246</v>
      </c>
      <c r="F33" s="29">
        <v>0.78</v>
      </c>
      <c r="G33" s="24">
        <v>1.3</v>
      </c>
      <c r="H33" s="24">
        <v>0</v>
      </c>
      <c r="I33" s="30">
        <f t="shared" si="13"/>
        <v>1.014</v>
      </c>
      <c r="J33" s="47">
        <v>2.8985507246376816</v>
      </c>
      <c r="K33" s="24" t="s">
        <v>1</v>
      </c>
      <c r="L33" s="24">
        <f t="shared" si="10"/>
        <v>1.014</v>
      </c>
      <c r="M33" s="24" t="s">
        <v>1</v>
      </c>
      <c r="N33" s="24">
        <v>1</v>
      </c>
      <c r="O33" s="24" t="s">
        <v>2</v>
      </c>
      <c r="P33" s="30">
        <f t="shared" si="11"/>
        <v>2.939130434782609</v>
      </c>
      <c r="Q33" s="29" t="s">
        <v>216</v>
      </c>
      <c r="R33" s="24">
        <f t="shared" si="12"/>
        <v>9.8550724637681178E-2</v>
      </c>
      <c r="S33" s="24" t="s">
        <v>1</v>
      </c>
      <c r="T33" s="24">
        <f t="shared" si="1"/>
        <v>1.014</v>
      </c>
      <c r="U33" s="24" t="s">
        <v>1</v>
      </c>
      <c r="V33" s="24">
        <v>0.57899999999999996</v>
      </c>
      <c r="W33" s="24" t="s">
        <v>2</v>
      </c>
      <c r="X33" s="30">
        <f t="shared" si="2"/>
        <v>5.785972173913044E-2</v>
      </c>
      <c r="Y33" s="29" t="s">
        <v>216</v>
      </c>
      <c r="Z33" s="24">
        <f t="shared" si="3"/>
        <v>9.8550724637681178E-2</v>
      </c>
      <c r="AA33" s="24" t="s">
        <v>1</v>
      </c>
      <c r="AB33" s="24">
        <f t="shared" si="4"/>
        <v>1.014</v>
      </c>
      <c r="AC33" s="24" t="s">
        <v>1</v>
      </c>
      <c r="AD33" s="24">
        <v>0.51200000000000001</v>
      </c>
      <c r="AE33" s="24" t="s">
        <v>2</v>
      </c>
      <c r="AF33" s="30">
        <f t="shared" si="5"/>
        <v>5.1164382608695665E-2</v>
      </c>
      <c r="AH33" s="50">
        <f t="shared" si="6"/>
        <v>2.899</v>
      </c>
      <c r="AI33" s="13">
        <f t="shared" si="7"/>
        <v>1.014</v>
      </c>
      <c r="AJ33" s="13">
        <f t="shared" si="8"/>
        <v>1</v>
      </c>
      <c r="AK33" s="13">
        <f t="shared" si="9"/>
        <v>2.9395860000000003</v>
      </c>
    </row>
    <row r="34" spans="2:37" ht="30" customHeight="1" x14ac:dyDescent="0.15">
      <c r="B34" s="94">
        <v>29</v>
      </c>
      <c r="C34" s="87" t="s">
        <v>123</v>
      </c>
      <c r="D34" s="99" t="s">
        <v>92</v>
      </c>
      <c r="E34" s="40" t="s">
        <v>246</v>
      </c>
      <c r="F34" s="29">
        <v>2.9550000000000001</v>
      </c>
      <c r="G34" s="24">
        <v>2.1819999999999999</v>
      </c>
      <c r="H34" s="24">
        <f>2.85*1.6</f>
        <v>4.5600000000000005</v>
      </c>
      <c r="I34" s="30">
        <f t="shared" si="13"/>
        <v>1.8878099999999991</v>
      </c>
      <c r="J34" s="47">
        <v>3.4277582000542148</v>
      </c>
      <c r="K34" s="24" t="s">
        <v>1</v>
      </c>
      <c r="L34" s="24">
        <f t="shared" si="10"/>
        <v>1.8878099999999991</v>
      </c>
      <c r="M34" s="24" t="s">
        <v>1</v>
      </c>
      <c r="N34" s="24">
        <v>1</v>
      </c>
      <c r="O34" s="24" t="s">
        <v>2</v>
      </c>
      <c r="P34" s="30">
        <f t="shared" si="11"/>
        <v>6.4709562076443445</v>
      </c>
      <c r="Q34" s="29" t="s">
        <v>216</v>
      </c>
      <c r="R34" s="24">
        <f t="shared" si="12"/>
        <v>0.11654377880184331</v>
      </c>
      <c r="S34" s="24" t="s">
        <v>1</v>
      </c>
      <c r="T34" s="24">
        <f t="shared" si="1"/>
        <v>1.8878099999999991</v>
      </c>
      <c r="U34" s="24" t="s">
        <v>1</v>
      </c>
      <c r="V34" s="24">
        <v>0.57899999999999996</v>
      </c>
      <c r="W34" s="24" t="s">
        <v>2</v>
      </c>
      <c r="X34" s="30">
        <f t="shared" si="2"/>
        <v>0.12738724390368655</v>
      </c>
      <c r="Y34" s="29" t="s">
        <v>216</v>
      </c>
      <c r="Z34" s="24">
        <f t="shared" si="3"/>
        <v>0.11654377880184331</v>
      </c>
      <c r="AA34" s="24" t="s">
        <v>1</v>
      </c>
      <c r="AB34" s="24">
        <f t="shared" si="4"/>
        <v>1.8878099999999991</v>
      </c>
      <c r="AC34" s="24" t="s">
        <v>1</v>
      </c>
      <c r="AD34" s="24">
        <v>0.51200000000000001</v>
      </c>
      <c r="AE34" s="24" t="s">
        <v>2</v>
      </c>
      <c r="AF34" s="30">
        <f t="shared" si="5"/>
        <v>0.11264640566267276</v>
      </c>
      <c r="AH34" s="50">
        <f t="shared" si="6"/>
        <v>3.4279999999999999</v>
      </c>
      <c r="AI34" s="13">
        <f t="shared" si="7"/>
        <v>1.8878099999999991</v>
      </c>
      <c r="AJ34" s="13">
        <f t="shared" si="8"/>
        <v>1</v>
      </c>
      <c r="AK34" s="13">
        <f t="shared" si="9"/>
        <v>6.4714126799999967</v>
      </c>
    </row>
    <row r="35" spans="2:37" ht="30" customHeight="1" x14ac:dyDescent="0.15">
      <c r="B35" s="94">
        <v>30</v>
      </c>
      <c r="C35" s="87" t="s">
        <v>124</v>
      </c>
      <c r="D35" s="99" t="s">
        <v>92</v>
      </c>
      <c r="E35" s="40" t="s">
        <v>246</v>
      </c>
      <c r="F35" s="29">
        <v>0.69599999999999995</v>
      </c>
      <c r="G35" s="24">
        <v>2.1819999999999999</v>
      </c>
      <c r="H35" s="24">
        <v>0</v>
      </c>
      <c r="I35" s="30">
        <f t="shared" si="13"/>
        <v>1.5186719999999998</v>
      </c>
      <c r="J35" s="47">
        <v>3.4277582000542148</v>
      </c>
      <c r="K35" s="24" t="s">
        <v>1</v>
      </c>
      <c r="L35" s="24">
        <f t="shared" si="10"/>
        <v>1.5186719999999998</v>
      </c>
      <c r="M35" s="24" t="s">
        <v>1</v>
      </c>
      <c r="N35" s="24">
        <v>1</v>
      </c>
      <c r="O35" s="24" t="s">
        <v>2</v>
      </c>
      <c r="P35" s="30">
        <f t="shared" si="11"/>
        <v>5.205640401192734</v>
      </c>
      <c r="Q35" s="29" t="s">
        <v>217</v>
      </c>
      <c r="R35" s="24">
        <f t="shared" si="12"/>
        <v>0.11654377880184331</v>
      </c>
      <c r="S35" s="24" t="s">
        <v>1</v>
      </c>
      <c r="T35" s="24">
        <f t="shared" si="1"/>
        <v>1.5186719999999998</v>
      </c>
      <c r="U35" s="24" t="s">
        <v>1</v>
      </c>
      <c r="V35" s="24">
        <v>0.93600000000000005</v>
      </c>
      <c r="W35" s="24" t="s">
        <v>2</v>
      </c>
      <c r="X35" s="30">
        <f t="shared" si="2"/>
        <v>0.16566430012755759</v>
      </c>
      <c r="Y35" s="29" t="s">
        <v>217</v>
      </c>
      <c r="Z35" s="24">
        <f t="shared" si="3"/>
        <v>0.11654377880184331</v>
      </c>
      <c r="AA35" s="24" t="s">
        <v>1</v>
      </c>
      <c r="AB35" s="24">
        <f t="shared" si="4"/>
        <v>1.5186719999999998</v>
      </c>
      <c r="AC35" s="24" t="s">
        <v>1</v>
      </c>
      <c r="AD35" s="24">
        <v>0.434</v>
      </c>
      <c r="AE35" s="24" t="s">
        <v>2</v>
      </c>
      <c r="AF35" s="30">
        <f t="shared" si="5"/>
        <v>7.6814429759999983E-2</v>
      </c>
      <c r="AH35" s="50">
        <f t="shared" si="6"/>
        <v>3.4279999999999999</v>
      </c>
      <c r="AI35" s="13">
        <f t="shared" si="7"/>
        <v>1.5186719999999998</v>
      </c>
      <c r="AJ35" s="13">
        <f t="shared" si="8"/>
        <v>1</v>
      </c>
      <c r="AK35" s="13">
        <f t="shared" si="9"/>
        <v>5.2060076159999991</v>
      </c>
    </row>
    <row r="36" spans="2:37" ht="30" customHeight="1" x14ac:dyDescent="0.15">
      <c r="B36" s="94">
        <v>31</v>
      </c>
      <c r="C36" s="87" t="s">
        <v>125</v>
      </c>
      <c r="D36" s="99" t="s">
        <v>92</v>
      </c>
      <c r="E36" s="40" t="s">
        <v>246</v>
      </c>
      <c r="F36" s="29">
        <v>1.47</v>
      </c>
      <c r="G36" s="24">
        <v>2.1819999999999999</v>
      </c>
      <c r="H36" s="24">
        <f>1.365*1.3</f>
        <v>1.7745</v>
      </c>
      <c r="I36" s="30">
        <f t="shared" si="13"/>
        <v>1.4330399999999999</v>
      </c>
      <c r="J36" s="47">
        <v>3.4277582000542148</v>
      </c>
      <c r="K36" s="24" t="s">
        <v>1</v>
      </c>
      <c r="L36" s="24">
        <f t="shared" si="10"/>
        <v>1.4330399999999999</v>
      </c>
      <c r="M36" s="24" t="s">
        <v>1</v>
      </c>
      <c r="N36" s="24">
        <v>1</v>
      </c>
      <c r="O36" s="24" t="s">
        <v>2</v>
      </c>
      <c r="P36" s="30">
        <f t="shared" si="11"/>
        <v>4.9121146110056912</v>
      </c>
      <c r="Q36" s="29" t="s">
        <v>216</v>
      </c>
      <c r="R36" s="24">
        <f t="shared" si="12"/>
        <v>0.11654377880184331</v>
      </c>
      <c r="S36" s="24" t="s">
        <v>1</v>
      </c>
      <c r="T36" s="24">
        <f t="shared" si="1"/>
        <v>1.4330399999999999</v>
      </c>
      <c r="U36" s="24" t="s">
        <v>1</v>
      </c>
      <c r="V36" s="24">
        <v>0.57899999999999996</v>
      </c>
      <c r="W36" s="24" t="s">
        <v>2</v>
      </c>
      <c r="X36" s="30">
        <f t="shared" si="2"/>
        <v>9.6699888232258044E-2</v>
      </c>
      <c r="Y36" s="29" t="s">
        <v>216</v>
      </c>
      <c r="Z36" s="24">
        <f t="shared" si="3"/>
        <v>0.11654377880184331</v>
      </c>
      <c r="AA36" s="24" t="s">
        <v>1</v>
      </c>
      <c r="AB36" s="24">
        <f t="shared" si="4"/>
        <v>1.4330399999999999</v>
      </c>
      <c r="AC36" s="24" t="s">
        <v>1</v>
      </c>
      <c r="AD36" s="24">
        <v>0.51200000000000001</v>
      </c>
      <c r="AE36" s="24" t="s">
        <v>2</v>
      </c>
      <c r="AF36" s="30">
        <f t="shared" si="5"/>
        <v>8.5510091148387091E-2</v>
      </c>
      <c r="AH36" s="50">
        <f t="shared" si="6"/>
        <v>3.4279999999999999</v>
      </c>
      <c r="AI36" s="13">
        <f t="shared" si="7"/>
        <v>1.4330399999999999</v>
      </c>
      <c r="AJ36" s="13">
        <f t="shared" si="8"/>
        <v>1</v>
      </c>
      <c r="AK36" s="13">
        <f t="shared" si="9"/>
        <v>4.9124611199999997</v>
      </c>
    </row>
    <row r="37" spans="2:37" ht="30" customHeight="1" x14ac:dyDescent="0.15">
      <c r="B37" s="94">
        <v>32</v>
      </c>
      <c r="C37" s="87" t="s">
        <v>126</v>
      </c>
      <c r="D37" s="99" t="s">
        <v>97</v>
      </c>
      <c r="E37" s="40" t="s">
        <v>247</v>
      </c>
      <c r="F37" s="29">
        <f>2.01+3.9</f>
        <v>5.91</v>
      </c>
      <c r="G37" s="24">
        <v>2.1819999999999999</v>
      </c>
      <c r="H37" s="24">
        <v>0</v>
      </c>
      <c r="I37" s="30">
        <f t="shared" si="13"/>
        <v>12.895619999999999</v>
      </c>
      <c r="J37" s="47">
        <v>2.7263157070849378</v>
      </c>
      <c r="K37" s="24" t="s">
        <v>1</v>
      </c>
      <c r="L37" s="24">
        <f t="shared" si="10"/>
        <v>12.895619999999999</v>
      </c>
      <c r="M37" s="24" t="s">
        <v>1</v>
      </c>
      <c r="N37" s="24">
        <v>0.15</v>
      </c>
      <c r="O37" s="24" t="s">
        <v>2</v>
      </c>
      <c r="P37" s="30">
        <f t="shared" si="11"/>
        <v>5.2736297037897986</v>
      </c>
      <c r="Q37" s="29" t="s">
        <v>220</v>
      </c>
      <c r="R37" s="24">
        <f t="shared" si="12"/>
        <v>9.2694734040887891E-2</v>
      </c>
      <c r="S37" s="24" t="s">
        <v>1</v>
      </c>
      <c r="T37" s="24">
        <f t="shared" si="1"/>
        <v>12.895619999999999</v>
      </c>
      <c r="U37" s="24" t="s">
        <v>1</v>
      </c>
      <c r="V37" s="24">
        <v>0</v>
      </c>
      <c r="W37" s="24" t="s">
        <v>2</v>
      </c>
      <c r="X37" s="30">
        <f t="shared" si="2"/>
        <v>0</v>
      </c>
      <c r="Y37" s="29" t="s">
        <v>220</v>
      </c>
      <c r="Z37" s="24">
        <f t="shared" si="3"/>
        <v>9.2694734040887891E-2</v>
      </c>
      <c r="AA37" s="24" t="s">
        <v>1</v>
      </c>
      <c r="AB37" s="24">
        <f t="shared" si="4"/>
        <v>12.895619999999999</v>
      </c>
      <c r="AC37" s="24" t="s">
        <v>1</v>
      </c>
      <c r="AD37" s="24">
        <v>0</v>
      </c>
      <c r="AE37" s="24" t="s">
        <v>2</v>
      </c>
      <c r="AF37" s="30">
        <f t="shared" si="5"/>
        <v>0</v>
      </c>
      <c r="AH37" s="50">
        <f t="shared" si="6"/>
        <v>2.726</v>
      </c>
      <c r="AI37" s="13">
        <f t="shared" si="7"/>
        <v>12.895619999999999</v>
      </c>
      <c r="AJ37" s="13">
        <f t="shared" si="8"/>
        <v>0.15</v>
      </c>
      <c r="AK37" s="13">
        <f t="shared" si="9"/>
        <v>5.2730190179999994</v>
      </c>
    </row>
    <row r="38" spans="2:37" ht="30" customHeight="1" x14ac:dyDescent="0.15">
      <c r="B38" s="94">
        <v>33</v>
      </c>
      <c r="C38" s="87" t="s">
        <v>127</v>
      </c>
      <c r="D38" s="99" t="s">
        <v>97</v>
      </c>
      <c r="E38" s="40" t="s">
        <v>247</v>
      </c>
      <c r="F38" s="29">
        <v>2.9550000000000001</v>
      </c>
      <c r="G38" s="24">
        <v>2.1819999999999999</v>
      </c>
      <c r="H38" s="24">
        <v>0</v>
      </c>
      <c r="I38" s="30">
        <f t="shared" si="13"/>
        <v>6.4478099999999996</v>
      </c>
      <c r="J38" s="47">
        <v>2.7263157070849378</v>
      </c>
      <c r="K38" s="24" t="s">
        <v>1</v>
      </c>
      <c r="L38" s="24">
        <f t="shared" si="10"/>
        <v>6.4478099999999996</v>
      </c>
      <c r="M38" s="24" t="s">
        <v>1</v>
      </c>
      <c r="N38" s="24">
        <v>0.15</v>
      </c>
      <c r="O38" s="24" t="s">
        <v>2</v>
      </c>
      <c r="P38" s="30">
        <f t="shared" si="11"/>
        <v>2.6368148518948993</v>
      </c>
      <c r="Q38" s="29" t="s">
        <v>220</v>
      </c>
      <c r="R38" s="24">
        <f t="shared" si="12"/>
        <v>9.2694734040887891E-2</v>
      </c>
      <c r="S38" s="24" t="s">
        <v>1</v>
      </c>
      <c r="T38" s="24">
        <f t="shared" si="1"/>
        <v>6.4478099999999996</v>
      </c>
      <c r="U38" s="24" t="s">
        <v>1</v>
      </c>
      <c r="V38" s="24">
        <v>0</v>
      </c>
      <c r="W38" s="24" t="s">
        <v>2</v>
      </c>
      <c r="X38" s="30">
        <f t="shared" si="2"/>
        <v>0</v>
      </c>
      <c r="Y38" s="29" t="s">
        <v>220</v>
      </c>
      <c r="Z38" s="24">
        <f t="shared" si="3"/>
        <v>9.2694734040887891E-2</v>
      </c>
      <c r="AA38" s="24" t="s">
        <v>1</v>
      </c>
      <c r="AB38" s="24">
        <f t="shared" si="4"/>
        <v>6.4478099999999996</v>
      </c>
      <c r="AC38" s="24" t="s">
        <v>1</v>
      </c>
      <c r="AD38" s="24">
        <v>0</v>
      </c>
      <c r="AE38" s="24" t="s">
        <v>2</v>
      </c>
      <c r="AF38" s="30">
        <f t="shared" si="5"/>
        <v>0</v>
      </c>
      <c r="AH38" s="50">
        <f t="shared" si="6"/>
        <v>2.726</v>
      </c>
      <c r="AI38" s="13">
        <f t="shared" si="7"/>
        <v>6.4478099999999996</v>
      </c>
      <c r="AJ38" s="13">
        <f t="shared" si="8"/>
        <v>0.15</v>
      </c>
      <c r="AK38" s="13">
        <f t="shared" si="9"/>
        <v>2.6365095089999997</v>
      </c>
    </row>
    <row r="39" spans="2:37" ht="30" customHeight="1" x14ac:dyDescent="0.15">
      <c r="B39" s="94">
        <v>34</v>
      </c>
      <c r="C39" s="87" t="s">
        <v>128</v>
      </c>
      <c r="D39" s="99" t="s">
        <v>92</v>
      </c>
      <c r="E39" s="40" t="s">
        <v>246</v>
      </c>
      <c r="F39" s="29">
        <v>1.47</v>
      </c>
      <c r="G39" s="24">
        <v>2.1819999999999999</v>
      </c>
      <c r="H39" s="24">
        <f>0.95*1.15</f>
        <v>1.0924999999999998</v>
      </c>
      <c r="I39" s="30">
        <f t="shared" si="13"/>
        <v>2.11504</v>
      </c>
      <c r="J39" s="47">
        <v>3.4277582000542148</v>
      </c>
      <c r="K39" s="24" t="s">
        <v>1</v>
      </c>
      <c r="L39" s="24">
        <f t="shared" si="10"/>
        <v>2.11504</v>
      </c>
      <c r="M39" s="24" t="s">
        <v>1</v>
      </c>
      <c r="N39" s="24">
        <v>1</v>
      </c>
      <c r="O39" s="24" t="s">
        <v>2</v>
      </c>
      <c r="P39" s="30">
        <f t="shared" si="11"/>
        <v>7.2498457034426664</v>
      </c>
      <c r="Q39" s="29" t="s">
        <v>214</v>
      </c>
      <c r="R39" s="24">
        <f t="shared" si="12"/>
        <v>0.11654377880184331</v>
      </c>
      <c r="S39" s="24" t="s">
        <v>1</v>
      </c>
      <c r="T39" s="24">
        <f t="shared" si="1"/>
        <v>2.11504</v>
      </c>
      <c r="U39" s="24" t="s">
        <v>1</v>
      </c>
      <c r="V39" s="24">
        <v>0.52300000000000002</v>
      </c>
      <c r="W39" s="24" t="s">
        <v>2</v>
      </c>
      <c r="X39" s="30">
        <f t="shared" si="2"/>
        <v>0.12891675629861751</v>
      </c>
      <c r="Y39" s="29" t="s">
        <v>214</v>
      </c>
      <c r="Z39" s="24">
        <f t="shared" si="3"/>
        <v>0.11654377880184331</v>
      </c>
      <c r="AA39" s="24" t="s">
        <v>1</v>
      </c>
      <c r="AB39" s="24">
        <f t="shared" si="4"/>
        <v>2.11504</v>
      </c>
      <c r="AC39" s="24" t="s">
        <v>1</v>
      </c>
      <c r="AD39" s="24">
        <v>0.504</v>
      </c>
      <c r="AE39" s="24" t="s">
        <v>2</v>
      </c>
      <c r="AF39" s="30">
        <f t="shared" si="5"/>
        <v>0.12423335597419355</v>
      </c>
      <c r="AH39" s="50">
        <f t="shared" si="6"/>
        <v>3.4279999999999999</v>
      </c>
      <c r="AI39" s="13">
        <f t="shared" si="7"/>
        <v>2.11504</v>
      </c>
      <c r="AJ39" s="13">
        <f t="shared" si="8"/>
        <v>1</v>
      </c>
      <c r="AK39" s="13">
        <f t="shared" si="9"/>
        <v>7.2503571200000003</v>
      </c>
    </row>
    <row r="40" spans="2:37" ht="30" customHeight="1" x14ac:dyDescent="0.15">
      <c r="B40" s="94">
        <v>35</v>
      </c>
      <c r="C40" s="87" t="s">
        <v>130</v>
      </c>
      <c r="D40" s="99" t="s">
        <v>95</v>
      </c>
      <c r="E40" s="40" t="s">
        <v>249</v>
      </c>
      <c r="F40" s="29">
        <f>2.955+0.78</f>
        <v>3.7350000000000003</v>
      </c>
      <c r="G40" s="24">
        <v>2.9550000000000001</v>
      </c>
      <c r="H40" s="24">
        <v>0</v>
      </c>
      <c r="I40" s="30">
        <f t="shared" si="13"/>
        <v>11.036925000000002</v>
      </c>
      <c r="J40" s="47">
        <v>1.2738853503184713</v>
      </c>
      <c r="K40" s="24" t="s">
        <v>1</v>
      </c>
      <c r="L40" s="24">
        <f t="shared" si="10"/>
        <v>11.036925000000002</v>
      </c>
      <c r="M40" s="24" t="s">
        <v>1</v>
      </c>
      <c r="N40" s="24">
        <v>0.7</v>
      </c>
      <c r="O40" s="24" t="s">
        <v>2</v>
      </c>
      <c r="P40" s="30">
        <f t="shared" si="11"/>
        <v>9.8418439490445859</v>
      </c>
      <c r="Q40" s="29" t="s">
        <v>218</v>
      </c>
      <c r="R40" s="24">
        <f t="shared" si="12"/>
        <v>4.331210191082803E-2</v>
      </c>
      <c r="S40" s="24" t="s">
        <v>1</v>
      </c>
      <c r="T40" s="24">
        <f t="shared" si="1"/>
        <v>11.036925000000002</v>
      </c>
      <c r="U40" s="24" t="s">
        <v>1</v>
      </c>
      <c r="V40" s="24">
        <v>0</v>
      </c>
      <c r="W40" s="24" t="s">
        <v>2</v>
      </c>
      <c r="X40" s="30">
        <f t="shared" si="2"/>
        <v>0</v>
      </c>
      <c r="Y40" s="29" t="s">
        <v>218</v>
      </c>
      <c r="Z40" s="24">
        <f t="shared" si="3"/>
        <v>4.331210191082803E-2</v>
      </c>
      <c r="AA40" s="24" t="s">
        <v>1</v>
      </c>
      <c r="AB40" s="24">
        <f t="shared" si="4"/>
        <v>11.036925000000002</v>
      </c>
      <c r="AC40" s="24" t="s">
        <v>1</v>
      </c>
      <c r="AD40" s="24">
        <v>0</v>
      </c>
      <c r="AE40" s="24" t="s">
        <v>2</v>
      </c>
      <c r="AF40" s="30">
        <f t="shared" si="5"/>
        <v>0</v>
      </c>
      <c r="AH40" s="50">
        <f t="shared" si="6"/>
        <v>1.274</v>
      </c>
      <c r="AI40" s="13">
        <f t="shared" si="7"/>
        <v>11.036925000000002</v>
      </c>
      <c r="AJ40" s="13">
        <f t="shared" si="8"/>
        <v>0.7</v>
      </c>
      <c r="AK40" s="13">
        <f t="shared" si="9"/>
        <v>9.8427297150000008</v>
      </c>
    </row>
    <row r="41" spans="2:37" ht="30" customHeight="1" x14ac:dyDescent="0.15">
      <c r="B41" s="94">
        <v>36</v>
      </c>
      <c r="C41" s="87" t="s">
        <v>131</v>
      </c>
      <c r="D41" s="99" t="s">
        <v>94</v>
      </c>
      <c r="E41" s="40" t="s">
        <v>249</v>
      </c>
      <c r="F41" s="29">
        <v>0.78</v>
      </c>
      <c r="G41" s="24">
        <v>2.0099999999999998</v>
      </c>
      <c r="H41" s="24">
        <v>0</v>
      </c>
      <c r="I41" s="30">
        <f t="shared" si="13"/>
        <v>1.5677999999999999</v>
      </c>
      <c r="J41" s="47">
        <v>2.3529411764705879</v>
      </c>
      <c r="K41" s="24" t="s">
        <v>1</v>
      </c>
      <c r="L41" s="24">
        <f t="shared" si="10"/>
        <v>1.5677999999999999</v>
      </c>
      <c r="M41" s="24" t="s">
        <v>1</v>
      </c>
      <c r="N41" s="24">
        <v>0.7</v>
      </c>
      <c r="O41" s="24" t="s">
        <v>2</v>
      </c>
      <c r="P41" s="30">
        <f t="shared" si="11"/>
        <v>2.5822588235294108</v>
      </c>
      <c r="Q41" s="29" t="s">
        <v>218</v>
      </c>
      <c r="R41" s="24">
        <f t="shared" si="12"/>
        <v>7.9999999999999988E-2</v>
      </c>
      <c r="S41" s="24" t="s">
        <v>1</v>
      </c>
      <c r="T41" s="24">
        <f t="shared" si="1"/>
        <v>1.5677999999999999</v>
      </c>
      <c r="U41" s="24" t="s">
        <v>1</v>
      </c>
      <c r="V41" s="24">
        <v>0</v>
      </c>
      <c r="W41" s="24" t="s">
        <v>2</v>
      </c>
      <c r="X41" s="30">
        <f t="shared" si="2"/>
        <v>0</v>
      </c>
      <c r="Y41" s="29" t="s">
        <v>218</v>
      </c>
      <c r="Z41" s="24">
        <f t="shared" si="3"/>
        <v>7.9999999999999988E-2</v>
      </c>
      <c r="AA41" s="24" t="s">
        <v>1</v>
      </c>
      <c r="AB41" s="24">
        <f t="shared" si="4"/>
        <v>1.5677999999999999</v>
      </c>
      <c r="AC41" s="24" t="s">
        <v>1</v>
      </c>
      <c r="AD41" s="24">
        <v>0</v>
      </c>
      <c r="AE41" s="24" t="s">
        <v>2</v>
      </c>
      <c r="AF41" s="30">
        <f t="shared" si="5"/>
        <v>0</v>
      </c>
      <c r="AH41" s="50">
        <f t="shared" si="6"/>
        <v>2.3530000000000002</v>
      </c>
      <c r="AI41" s="13">
        <f t="shared" si="7"/>
        <v>1.5677999999999999</v>
      </c>
      <c r="AJ41" s="13">
        <f t="shared" si="8"/>
        <v>0.7</v>
      </c>
      <c r="AK41" s="13">
        <f t="shared" si="9"/>
        <v>2.5823233800000001</v>
      </c>
    </row>
    <row r="42" spans="2:37" ht="30" customHeight="1" x14ac:dyDescent="0.15">
      <c r="B42" s="94">
        <v>37</v>
      </c>
      <c r="C42" s="87" t="s">
        <v>132</v>
      </c>
      <c r="D42" s="99" t="s">
        <v>95</v>
      </c>
      <c r="E42" s="40" t="s">
        <v>249</v>
      </c>
      <c r="F42" s="29">
        <v>2.9550000000000001</v>
      </c>
      <c r="G42" s="24">
        <v>2.0099999999999998</v>
      </c>
      <c r="H42" s="24">
        <v>0</v>
      </c>
      <c r="I42" s="30">
        <f t="shared" si="13"/>
        <v>5.9395499999999997</v>
      </c>
      <c r="J42" s="47">
        <v>1.2738853503184713</v>
      </c>
      <c r="K42" s="24" t="s">
        <v>1</v>
      </c>
      <c r="L42" s="24">
        <f t="shared" si="10"/>
        <v>5.9395499999999997</v>
      </c>
      <c r="M42" s="24" t="s">
        <v>1</v>
      </c>
      <c r="N42" s="24">
        <v>0.7</v>
      </c>
      <c r="O42" s="24" t="s">
        <v>2</v>
      </c>
      <c r="P42" s="30">
        <f t="shared" si="11"/>
        <v>5.296414012738853</v>
      </c>
      <c r="Q42" s="29" t="s">
        <v>218</v>
      </c>
      <c r="R42" s="24">
        <f t="shared" si="12"/>
        <v>4.331210191082803E-2</v>
      </c>
      <c r="S42" s="24" t="s">
        <v>1</v>
      </c>
      <c r="T42" s="24">
        <f t="shared" si="1"/>
        <v>5.9395499999999997</v>
      </c>
      <c r="U42" s="24" t="s">
        <v>1</v>
      </c>
      <c r="V42" s="24">
        <v>0</v>
      </c>
      <c r="W42" s="24" t="s">
        <v>2</v>
      </c>
      <c r="X42" s="30">
        <f t="shared" si="2"/>
        <v>0</v>
      </c>
      <c r="Y42" s="29" t="s">
        <v>218</v>
      </c>
      <c r="Z42" s="24">
        <f t="shared" si="3"/>
        <v>4.331210191082803E-2</v>
      </c>
      <c r="AA42" s="24" t="s">
        <v>1</v>
      </c>
      <c r="AB42" s="24">
        <f t="shared" si="4"/>
        <v>5.9395499999999997</v>
      </c>
      <c r="AC42" s="24" t="s">
        <v>1</v>
      </c>
      <c r="AD42" s="24">
        <v>0</v>
      </c>
      <c r="AE42" s="24" t="s">
        <v>2</v>
      </c>
      <c r="AF42" s="30">
        <f t="shared" si="5"/>
        <v>0</v>
      </c>
      <c r="AH42" s="50">
        <f t="shared" si="6"/>
        <v>1.274</v>
      </c>
      <c r="AI42" s="13">
        <f t="shared" si="7"/>
        <v>5.9395499999999997</v>
      </c>
      <c r="AJ42" s="13">
        <f t="shared" si="8"/>
        <v>0.7</v>
      </c>
      <c r="AK42" s="13">
        <f t="shared" si="9"/>
        <v>5.2968906899999988</v>
      </c>
    </row>
    <row r="43" spans="2:37" ht="30" customHeight="1" x14ac:dyDescent="0.15">
      <c r="B43" s="94">
        <v>38</v>
      </c>
      <c r="C43" s="87" t="s">
        <v>133</v>
      </c>
      <c r="D43" s="99" t="s">
        <v>94</v>
      </c>
      <c r="E43" s="40" t="s">
        <v>249</v>
      </c>
      <c r="F43" s="29">
        <v>0.78</v>
      </c>
      <c r="G43" s="24">
        <v>3.9</v>
      </c>
      <c r="H43" s="24">
        <v>0</v>
      </c>
      <c r="I43" s="30">
        <f t="shared" si="13"/>
        <v>3.0419999999999998</v>
      </c>
      <c r="J43" s="47">
        <v>2.3529411764705879</v>
      </c>
      <c r="K43" s="24" t="s">
        <v>1</v>
      </c>
      <c r="L43" s="24">
        <f t="shared" si="10"/>
        <v>3.0419999999999998</v>
      </c>
      <c r="M43" s="24" t="s">
        <v>1</v>
      </c>
      <c r="N43" s="24">
        <v>0.7</v>
      </c>
      <c r="O43" s="24" t="s">
        <v>2</v>
      </c>
      <c r="P43" s="30">
        <f t="shared" si="11"/>
        <v>5.0103529411764693</v>
      </c>
      <c r="Q43" s="29" t="s">
        <v>218</v>
      </c>
      <c r="R43" s="24">
        <f t="shared" si="12"/>
        <v>7.9999999999999988E-2</v>
      </c>
      <c r="S43" s="24" t="s">
        <v>1</v>
      </c>
      <c r="T43" s="24">
        <f t="shared" si="1"/>
        <v>3.0419999999999998</v>
      </c>
      <c r="U43" s="24" t="s">
        <v>1</v>
      </c>
      <c r="V43" s="24">
        <v>0</v>
      </c>
      <c r="W43" s="24" t="s">
        <v>2</v>
      </c>
      <c r="X43" s="30">
        <f t="shared" si="2"/>
        <v>0</v>
      </c>
      <c r="Y43" s="29" t="s">
        <v>218</v>
      </c>
      <c r="Z43" s="24">
        <f t="shared" si="3"/>
        <v>7.9999999999999988E-2</v>
      </c>
      <c r="AA43" s="24" t="s">
        <v>1</v>
      </c>
      <c r="AB43" s="24">
        <f t="shared" si="4"/>
        <v>3.0419999999999998</v>
      </c>
      <c r="AC43" s="24" t="s">
        <v>1</v>
      </c>
      <c r="AD43" s="24">
        <v>0</v>
      </c>
      <c r="AE43" s="24" t="s">
        <v>2</v>
      </c>
      <c r="AF43" s="30">
        <f t="shared" si="5"/>
        <v>0</v>
      </c>
      <c r="AH43" s="50">
        <f t="shared" si="6"/>
        <v>2.3530000000000002</v>
      </c>
      <c r="AI43" s="13">
        <f t="shared" si="7"/>
        <v>3.0419999999999998</v>
      </c>
      <c r="AJ43" s="13">
        <f t="shared" si="8"/>
        <v>0.7</v>
      </c>
      <c r="AK43" s="13">
        <f t="shared" si="9"/>
        <v>5.0104781999999997</v>
      </c>
    </row>
    <row r="44" spans="2:37" ht="30" customHeight="1" x14ac:dyDescent="0.15">
      <c r="B44" s="94">
        <v>39</v>
      </c>
      <c r="C44" s="87" t="s">
        <v>134</v>
      </c>
      <c r="D44" s="99" t="s">
        <v>95</v>
      </c>
      <c r="E44" s="40" t="s">
        <v>249</v>
      </c>
      <c r="F44" s="29">
        <v>2.9550000000000001</v>
      </c>
      <c r="G44" s="24">
        <v>3.9</v>
      </c>
      <c r="H44" s="24">
        <v>0</v>
      </c>
      <c r="I44" s="30">
        <f t="shared" si="13"/>
        <v>11.5245</v>
      </c>
      <c r="J44" s="47">
        <v>1.2738853503184713</v>
      </c>
      <c r="K44" s="24" t="s">
        <v>1</v>
      </c>
      <c r="L44" s="24">
        <f t="shared" si="10"/>
        <v>11.5245</v>
      </c>
      <c r="M44" s="24" t="s">
        <v>1</v>
      </c>
      <c r="N44" s="24">
        <v>0.7</v>
      </c>
      <c r="O44" s="24" t="s">
        <v>2</v>
      </c>
      <c r="P44" s="30">
        <f t="shared" si="11"/>
        <v>10.276624203821655</v>
      </c>
      <c r="Q44" s="29" t="s">
        <v>218</v>
      </c>
      <c r="R44" s="24">
        <f t="shared" si="12"/>
        <v>4.331210191082803E-2</v>
      </c>
      <c r="S44" s="24" t="s">
        <v>1</v>
      </c>
      <c r="T44" s="24">
        <f t="shared" si="1"/>
        <v>11.5245</v>
      </c>
      <c r="U44" s="24" t="s">
        <v>1</v>
      </c>
      <c r="V44" s="24">
        <v>0</v>
      </c>
      <c r="W44" s="24" t="s">
        <v>2</v>
      </c>
      <c r="X44" s="30">
        <f t="shared" si="2"/>
        <v>0</v>
      </c>
      <c r="Y44" s="29" t="s">
        <v>218</v>
      </c>
      <c r="Z44" s="24">
        <f t="shared" si="3"/>
        <v>4.331210191082803E-2</v>
      </c>
      <c r="AA44" s="24" t="s">
        <v>1</v>
      </c>
      <c r="AB44" s="24">
        <f t="shared" si="4"/>
        <v>11.5245</v>
      </c>
      <c r="AC44" s="24" t="s">
        <v>1</v>
      </c>
      <c r="AD44" s="24">
        <v>0</v>
      </c>
      <c r="AE44" s="24" t="s">
        <v>2</v>
      </c>
      <c r="AF44" s="30">
        <f t="shared" si="5"/>
        <v>0</v>
      </c>
      <c r="AH44" s="50">
        <f t="shared" si="6"/>
        <v>1.274</v>
      </c>
      <c r="AI44" s="13">
        <f t="shared" si="7"/>
        <v>11.5245</v>
      </c>
      <c r="AJ44" s="13">
        <f t="shared" si="8"/>
        <v>0.7</v>
      </c>
      <c r="AK44" s="13">
        <f t="shared" si="9"/>
        <v>10.277549099999998</v>
      </c>
    </row>
    <row r="45" spans="2:37" ht="30" customHeight="1" x14ac:dyDescent="0.15">
      <c r="B45" s="94">
        <v>40</v>
      </c>
      <c r="C45" s="87" t="s">
        <v>135</v>
      </c>
      <c r="D45" s="99" t="s">
        <v>94</v>
      </c>
      <c r="E45" s="40" t="s">
        <v>249</v>
      </c>
      <c r="F45" s="29">
        <f>2.955+0.78</f>
        <v>3.7350000000000003</v>
      </c>
      <c r="G45" s="24">
        <v>0.69599999999999995</v>
      </c>
      <c r="H45" s="24">
        <v>0</v>
      </c>
      <c r="I45" s="30">
        <f t="shared" ref="I45:I46" si="14">F45*G45-H45</f>
        <v>2.5995599999999999</v>
      </c>
      <c r="J45" s="47">
        <v>3.1746031746031744</v>
      </c>
      <c r="K45" s="24" t="s">
        <v>1</v>
      </c>
      <c r="L45" s="24">
        <f t="shared" si="10"/>
        <v>2.5995599999999999</v>
      </c>
      <c r="M45" s="24" t="s">
        <v>1</v>
      </c>
      <c r="N45" s="24">
        <v>1</v>
      </c>
      <c r="O45" s="24" t="s">
        <v>2</v>
      </c>
      <c r="P45" s="30">
        <f t="shared" si="11"/>
        <v>8.2525714285714269</v>
      </c>
      <c r="Q45" s="29" t="s">
        <v>218</v>
      </c>
      <c r="R45" s="24">
        <f t="shared" si="12"/>
        <v>0.10793650793650794</v>
      </c>
      <c r="S45" s="24" t="s">
        <v>1</v>
      </c>
      <c r="T45" s="24">
        <f t="shared" si="1"/>
        <v>2.5995599999999999</v>
      </c>
      <c r="U45" s="24" t="s">
        <v>1</v>
      </c>
      <c r="V45" s="24">
        <v>0</v>
      </c>
      <c r="W45" s="24" t="s">
        <v>2</v>
      </c>
      <c r="X45" s="30">
        <f t="shared" si="2"/>
        <v>0</v>
      </c>
      <c r="Y45" s="29" t="s">
        <v>218</v>
      </c>
      <c r="Z45" s="24">
        <f t="shared" si="3"/>
        <v>0.10793650793650794</v>
      </c>
      <c r="AA45" s="24" t="s">
        <v>1</v>
      </c>
      <c r="AB45" s="24">
        <f t="shared" si="4"/>
        <v>2.5995599999999999</v>
      </c>
      <c r="AC45" s="24" t="s">
        <v>1</v>
      </c>
      <c r="AD45" s="24">
        <v>0</v>
      </c>
      <c r="AE45" s="24" t="s">
        <v>2</v>
      </c>
      <c r="AF45" s="30">
        <f t="shared" si="5"/>
        <v>0</v>
      </c>
      <c r="AH45" s="50">
        <f t="shared" si="6"/>
        <v>3.1749999999999998</v>
      </c>
      <c r="AI45" s="13">
        <f t="shared" si="7"/>
        <v>2.5995599999999999</v>
      </c>
      <c r="AJ45" s="13">
        <f t="shared" si="8"/>
        <v>1</v>
      </c>
      <c r="AK45" s="13">
        <f t="shared" si="9"/>
        <v>8.2536029999999982</v>
      </c>
    </row>
    <row r="46" spans="2:37" ht="30" customHeight="1" x14ac:dyDescent="0.15">
      <c r="B46" s="94">
        <v>41</v>
      </c>
      <c r="C46" s="87" t="s">
        <v>136</v>
      </c>
      <c r="D46" s="99" t="s">
        <v>137</v>
      </c>
      <c r="E46" s="40" t="s">
        <v>250</v>
      </c>
      <c r="F46" s="29">
        <v>1.47</v>
      </c>
      <c r="G46" s="24">
        <f>2.955+2.01+3.9</f>
        <v>8.8650000000000002</v>
      </c>
      <c r="H46" s="24">
        <v>0</v>
      </c>
      <c r="I46" s="30">
        <f t="shared" si="14"/>
        <v>13.031549999999999</v>
      </c>
      <c r="J46" s="47">
        <v>0</v>
      </c>
      <c r="K46" s="24" t="s">
        <v>1</v>
      </c>
      <c r="L46" s="24">
        <f t="shared" si="10"/>
        <v>13.031549999999999</v>
      </c>
      <c r="M46" s="24" t="s">
        <v>1</v>
      </c>
      <c r="N46" s="24">
        <v>1</v>
      </c>
      <c r="O46" s="24" t="s">
        <v>2</v>
      </c>
      <c r="P46" s="30">
        <f t="shared" si="11"/>
        <v>0</v>
      </c>
      <c r="Q46" s="29" t="s">
        <v>218</v>
      </c>
      <c r="R46" s="24">
        <f t="shared" si="12"/>
        <v>0</v>
      </c>
      <c r="S46" s="24" t="s">
        <v>1</v>
      </c>
      <c r="T46" s="24">
        <f t="shared" si="1"/>
        <v>13.031549999999999</v>
      </c>
      <c r="U46" s="24" t="s">
        <v>1</v>
      </c>
      <c r="V46" s="24">
        <v>0</v>
      </c>
      <c r="W46" s="24" t="s">
        <v>2</v>
      </c>
      <c r="X46" s="30">
        <f t="shared" si="2"/>
        <v>0</v>
      </c>
      <c r="Y46" s="29" t="s">
        <v>218</v>
      </c>
      <c r="Z46" s="24">
        <f t="shared" si="3"/>
        <v>0</v>
      </c>
      <c r="AA46" s="24" t="s">
        <v>1</v>
      </c>
      <c r="AB46" s="24">
        <f t="shared" si="4"/>
        <v>13.031549999999999</v>
      </c>
      <c r="AC46" s="24" t="s">
        <v>1</v>
      </c>
      <c r="AD46" s="24">
        <v>0</v>
      </c>
      <c r="AE46" s="24" t="s">
        <v>2</v>
      </c>
      <c r="AF46" s="30">
        <f t="shared" si="5"/>
        <v>0</v>
      </c>
      <c r="AH46" s="50">
        <f t="shared" si="6"/>
        <v>0</v>
      </c>
      <c r="AI46" s="13">
        <f t="shared" si="7"/>
        <v>13.031549999999999</v>
      </c>
      <c r="AJ46" s="13">
        <f t="shared" si="8"/>
        <v>1</v>
      </c>
      <c r="AK46" s="13">
        <f t="shared" si="9"/>
        <v>0</v>
      </c>
    </row>
    <row r="47" spans="2:37" ht="30" customHeight="1" x14ac:dyDescent="0.15">
      <c r="B47" s="94">
        <v>42</v>
      </c>
      <c r="C47" s="88" t="s">
        <v>138</v>
      </c>
      <c r="D47" s="99" t="s">
        <v>96</v>
      </c>
      <c r="E47" s="40" t="s">
        <v>248</v>
      </c>
      <c r="F47" s="43">
        <f>0.78+2.955</f>
        <v>3.7350000000000003</v>
      </c>
      <c r="G47" s="44">
        <v>2.9550000000000001</v>
      </c>
      <c r="H47" s="24">
        <v>0</v>
      </c>
      <c r="I47" s="30">
        <f t="shared" ref="I47:I51" si="15">F47*G47-H47</f>
        <v>11.036925000000002</v>
      </c>
      <c r="J47" s="48">
        <v>3.9215686274509802</v>
      </c>
      <c r="K47" s="24" t="s">
        <v>1</v>
      </c>
      <c r="L47" s="24">
        <f t="shared" si="10"/>
        <v>11.036925000000002</v>
      </c>
      <c r="M47" s="24" t="s">
        <v>1</v>
      </c>
      <c r="N47" s="24">
        <v>1</v>
      </c>
      <c r="O47" s="24" t="s">
        <v>2</v>
      </c>
      <c r="P47" s="30">
        <f t="shared" si="11"/>
        <v>43.282058823529418</v>
      </c>
      <c r="Q47" s="43" t="s">
        <v>219</v>
      </c>
      <c r="R47" s="24">
        <f t="shared" si="12"/>
        <v>0.13333333333333333</v>
      </c>
      <c r="S47" s="24" t="s">
        <v>1</v>
      </c>
      <c r="T47" s="44">
        <f t="shared" si="1"/>
        <v>11.036925000000002</v>
      </c>
      <c r="U47" s="24" t="s">
        <v>1</v>
      </c>
      <c r="V47" s="44">
        <v>1</v>
      </c>
      <c r="W47" s="24" t="s">
        <v>2</v>
      </c>
      <c r="X47" s="45">
        <f t="shared" si="2"/>
        <v>1.4715900000000002</v>
      </c>
      <c r="Y47" s="43" t="s">
        <v>219</v>
      </c>
      <c r="Z47" s="44">
        <f t="shared" si="3"/>
        <v>0.13333333333333333</v>
      </c>
      <c r="AA47" s="24" t="s">
        <v>1</v>
      </c>
      <c r="AB47" s="44">
        <f t="shared" si="4"/>
        <v>11.036925000000002</v>
      </c>
      <c r="AC47" s="24" t="s">
        <v>1</v>
      </c>
      <c r="AD47" s="44">
        <v>1</v>
      </c>
      <c r="AE47" s="24" t="s">
        <v>2</v>
      </c>
      <c r="AF47" s="45">
        <f t="shared" si="5"/>
        <v>1.4715900000000002</v>
      </c>
      <c r="AH47" s="50">
        <f t="shared" si="6"/>
        <v>3.9220000000000002</v>
      </c>
      <c r="AI47" s="13">
        <f t="shared" si="7"/>
        <v>11.036925000000002</v>
      </c>
      <c r="AJ47" s="13">
        <f t="shared" si="8"/>
        <v>1</v>
      </c>
      <c r="AK47" s="13">
        <f t="shared" si="9"/>
        <v>43.286819850000008</v>
      </c>
    </row>
    <row r="48" spans="2:37" ht="30" customHeight="1" x14ac:dyDescent="0.15">
      <c r="B48" s="94">
        <v>43</v>
      </c>
      <c r="C48" s="88" t="s">
        <v>139</v>
      </c>
      <c r="D48" s="99" t="s">
        <v>96</v>
      </c>
      <c r="E48" s="40" t="s">
        <v>248</v>
      </c>
      <c r="F48" s="43">
        <f>0.78+2.955</f>
        <v>3.7350000000000003</v>
      </c>
      <c r="G48" s="44">
        <v>2.0099999999999998</v>
      </c>
      <c r="H48" s="24">
        <v>0</v>
      </c>
      <c r="I48" s="30">
        <f t="shared" si="15"/>
        <v>7.5073499999999997</v>
      </c>
      <c r="J48" s="48">
        <v>3.9215686274509802</v>
      </c>
      <c r="K48" s="24" t="s">
        <v>1</v>
      </c>
      <c r="L48" s="24">
        <f t="shared" si="10"/>
        <v>7.5073499999999997</v>
      </c>
      <c r="M48" s="24" t="s">
        <v>1</v>
      </c>
      <c r="N48" s="24">
        <v>1</v>
      </c>
      <c r="O48" s="24" t="s">
        <v>2</v>
      </c>
      <c r="P48" s="30">
        <f t="shared" si="11"/>
        <v>29.440588235294115</v>
      </c>
      <c r="Q48" s="43" t="s">
        <v>219</v>
      </c>
      <c r="R48" s="24">
        <f t="shared" si="12"/>
        <v>0.13333333333333333</v>
      </c>
      <c r="S48" s="24" t="s">
        <v>1</v>
      </c>
      <c r="T48" s="44">
        <f t="shared" si="1"/>
        <v>7.5073499999999997</v>
      </c>
      <c r="U48" s="24" t="s">
        <v>1</v>
      </c>
      <c r="V48" s="44">
        <v>1</v>
      </c>
      <c r="W48" s="24" t="s">
        <v>2</v>
      </c>
      <c r="X48" s="45">
        <f t="shared" si="2"/>
        <v>1.00098</v>
      </c>
      <c r="Y48" s="43" t="s">
        <v>219</v>
      </c>
      <c r="Z48" s="44">
        <f t="shared" si="3"/>
        <v>0.13333333333333333</v>
      </c>
      <c r="AA48" s="24" t="s">
        <v>1</v>
      </c>
      <c r="AB48" s="44">
        <f t="shared" si="4"/>
        <v>7.5073499999999997</v>
      </c>
      <c r="AC48" s="24" t="s">
        <v>1</v>
      </c>
      <c r="AD48" s="44">
        <v>1</v>
      </c>
      <c r="AE48" s="24" t="s">
        <v>2</v>
      </c>
      <c r="AF48" s="45">
        <f t="shared" si="5"/>
        <v>1.00098</v>
      </c>
      <c r="AH48" s="50">
        <f t="shared" si="6"/>
        <v>3.9220000000000002</v>
      </c>
      <c r="AI48" s="13">
        <f t="shared" si="7"/>
        <v>7.5073499999999997</v>
      </c>
      <c r="AJ48" s="13">
        <f t="shared" si="8"/>
        <v>1</v>
      </c>
      <c r="AK48" s="13">
        <f t="shared" si="9"/>
        <v>29.443826699999999</v>
      </c>
    </row>
    <row r="49" spans="2:37" ht="30" customHeight="1" x14ac:dyDescent="0.15">
      <c r="B49" s="94">
        <v>44</v>
      </c>
      <c r="C49" s="88" t="s">
        <v>140</v>
      </c>
      <c r="D49" s="99" t="s">
        <v>96</v>
      </c>
      <c r="E49" s="40" t="s">
        <v>248</v>
      </c>
      <c r="F49" s="43">
        <f>0.78+2.955</f>
        <v>3.7350000000000003</v>
      </c>
      <c r="G49" s="44">
        <f>3.9</f>
        <v>3.9</v>
      </c>
      <c r="H49" s="24">
        <v>0</v>
      </c>
      <c r="I49" s="30">
        <f t="shared" si="15"/>
        <v>14.566500000000001</v>
      </c>
      <c r="J49" s="48">
        <v>3.9215686274509802</v>
      </c>
      <c r="K49" s="24" t="s">
        <v>1</v>
      </c>
      <c r="L49" s="24">
        <f t="shared" si="10"/>
        <v>14.566500000000001</v>
      </c>
      <c r="M49" s="24" t="s">
        <v>1</v>
      </c>
      <c r="N49" s="24">
        <v>1</v>
      </c>
      <c r="O49" s="24" t="s">
        <v>2</v>
      </c>
      <c r="P49" s="30">
        <f t="shared" si="11"/>
        <v>57.123529411764707</v>
      </c>
      <c r="Q49" s="43" t="s">
        <v>219</v>
      </c>
      <c r="R49" s="24">
        <f t="shared" si="12"/>
        <v>0.13333333333333333</v>
      </c>
      <c r="S49" s="24" t="s">
        <v>1</v>
      </c>
      <c r="T49" s="44">
        <f t="shared" si="1"/>
        <v>14.566500000000001</v>
      </c>
      <c r="U49" s="24" t="s">
        <v>1</v>
      </c>
      <c r="V49" s="44">
        <v>1</v>
      </c>
      <c r="W49" s="24" t="s">
        <v>2</v>
      </c>
      <c r="X49" s="45">
        <f t="shared" si="2"/>
        <v>1.9422000000000001</v>
      </c>
      <c r="Y49" s="43" t="s">
        <v>219</v>
      </c>
      <c r="Z49" s="44">
        <f t="shared" si="3"/>
        <v>0.13333333333333333</v>
      </c>
      <c r="AA49" s="24" t="s">
        <v>1</v>
      </c>
      <c r="AB49" s="44">
        <f t="shared" si="4"/>
        <v>14.566500000000001</v>
      </c>
      <c r="AC49" s="24" t="s">
        <v>1</v>
      </c>
      <c r="AD49" s="44">
        <v>1</v>
      </c>
      <c r="AE49" s="24" t="s">
        <v>2</v>
      </c>
      <c r="AF49" s="45">
        <f t="shared" si="5"/>
        <v>1.9422000000000001</v>
      </c>
      <c r="AH49" s="50">
        <f t="shared" si="6"/>
        <v>3.9220000000000002</v>
      </c>
      <c r="AI49" s="13">
        <f t="shared" si="7"/>
        <v>14.566500000000001</v>
      </c>
      <c r="AJ49" s="13">
        <f t="shared" si="8"/>
        <v>1</v>
      </c>
      <c r="AK49" s="13">
        <f t="shared" si="9"/>
        <v>57.129813000000006</v>
      </c>
    </row>
    <row r="50" spans="2:37" ht="30" customHeight="1" x14ac:dyDescent="0.15">
      <c r="B50" s="94">
        <v>45</v>
      </c>
      <c r="C50" s="88" t="s">
        <v>143</v>
      </c>
      <c r="D50" s="99" t="s">
        <v>96</v>
      </c>
      <c r="E50" s="40" t="s">
        <v>248</v>
      </c>
      <c r="F50" s="43">
        <f>0.78+2.955</f>
        <v>3.7350000000000003</v>
      </c>
      <c r="G50" s="44">
        <v>0.69599999999999995</v>
      </c>
      <c r="H50" s="24">
        <v>0</v>
      </c>
      <c r="I50" s="30">
        <f t="shared" si="15"/>
        <v>2.5995599999999999</v>
      </c>
      <c r="J50" s="48">
        <v>3.9215686274509802</v>
      </c>
      <c r="K50" s="24" t="s">
        <v>1</v>
      </c>
      <c r="L50" s="24">
        <f t="shared" si="10"/>
        <v>2.5995599999999999</v>
      </c>
      <c r="M50" s="24" t="s">
        <v>1</v>
      </c>
      <c r="N50" s="24">
        <v>1</v>
      </c>
      <c r="O50" s="24" t="s">
        <v>2</v>
      </c>
      <c r="P50" s="30">
        <f t="shared" si="11"/>
        <v>10.19435294117647</v>
      </c>
      <c r="Q50" s="43" t="s">
        <v>219</v>
      </c>
      <c r="R50" s="24">
        <f t="shared" si="12"/>
        <v>0.13333333333333333</v>
      </c>
      <c r="S50" s="24" t="s">
        <v>1</v>
      </c>
      <c r="T50" s="44">
        <f t="shared" si="1"/>
        <v>2.5995599999999999</v>
      </c>
      <c r="U50" s="24" t="s">
        <v>1</v>
      </c>
      <c r="V50" s="44">
        <v>1</v>
      </c>
      <c r="W50" s="24" t="s">
        <v>2</v>
      </c>
      <c r="X50" s="45">
        <f t="shared" si="2"/>
        <v>0.34660799999999997</v>
      </c>
      <c r="Y50" s="43" t="s">
        <v>219</v>
      </c>
      <c r="Z50" s="44">
        <f t="shared" si="3"/>
        <v>0.13333333333333333</v>
      </c>
      <c r="AA50" s="24" t="s">
        <v>1</v>
      </c>
      <c r="AB50" s="44">
        <f t="shared" si="4"/>
        <v>2.5995599999999999</v>
      </c>
      <c r="AC50" s="24" t="s">
        <v>1</v>
      </c>
      <c r="AD50" s="44">
        <v>1</v>
      </c>
      <c r="AE50" s="24" t="s">
        <v>2</v>
      </c>
      <c r="AF50" s="45">
        <f t="shared" si="5"/>
        <v>0.34660799999999997</v>
      </c>
      <c r="AH50" s="50">
        <f t="shared" si="6"/>
        <v>3.9220000000000002</v>
      </c>
      <c r="AI50" s="13">
        <f t="shared" si="7"/>
        <v>2.5995599999999999</v>
      </c>
      <c r="AJ50" s="13">
        <f t="shared" si="8"/>
        <v>1</v>
      </c>
      <c r="AK50" s="13">
        <f t="shared" si="9"/>
        <v>10.195474320000001</v>
      </c>
    </row>
    <row r="51" spans="2:37" ht="30" customHeight="1" x14ac:dyDescent="0.15">
      <c r="B51" s="94">
        <v>46</v>
      </c>
      <c r="C51" s="88" t="s">
        <v>141</v>
      </c>
      <c r="D51" s="99" t="s">
        <v>96</v>
      </c>
      <c r="E51" s="40" t="s">
        <v>248</v>
      </c>
      <c r="F51" s="43">
        <v>1.47</v>
      </c>
      <c r="G51" s="44">
        <f>2.01+3.9</f>
        <v>5.91</v>
      </c>
      <c r="H51" s="24">
        <v>0</v>
      </c>
      <c r="I51" s="30">
        <f t="shared" si="15"/>
        <v>8.6876999999999995</v>
      </c>
      <c r="J51" s="48">
        <v>3.9215686274509802</v>
      </c>
      <c r="K51" s="24" t="s">
        <v>1</v>
      </c>
      <c r="L51" s="24">
        <f t="shared" si="10"/>
        <v>8.6876999999999995</v>
      </c>
      <c r="M51" s="24" t="s">
        <v>1</v>
      </c>
      <c r="N51" s="24">
        <v>1</v>
      </c>
      <c r="O51" s="24" t="s">
        <v>2</v>
      </c>
      <c r="P51" s="30">
        <f t="shared" si="11"/>
        <v>34.069411764705876</v>
      </c>
      <c r="Q51" s="43" t="s">
        <v>219</v>
      </c>
      <c r="R51" s="24">
        <f t="shared" si="12"/>
        <v>0.13333333333333333</v>
      </c>
      <c r="S51" s="24" t="s">
        <v>1</v>
      </c>
      <c r="T51" s="44">
        <f t="shared" si="1"/>
        <v>8.6876999999999995</v>
      </c>
      <c r="U51" s="24" t="s">
        <v>1</v>
      </c>
      <c r="V51" s="44">
        <v>1</v>
      </c>
      <c r="W51" s="24" t="s">
        <v>2</v>
      </c>
      <c r="X51" s="45">
        <f t="shared" si="2"/>
        <v>1.1583599999999998</v>
      </c>
      <c r="Y51" s="43" t="s">
        <v>219</v>
      </c>
      <c r="Z51" s="44">
        <f t="shared" si="3"/>
        <v>0.13333333333333333</v>
      </c>
      <c r="AA51" s="24" t="s">
        <v>1</v>
      </c>
      <c r="AB51" s="44">
        <f t="shared" si="4"/>
        <v>8.6876999999999995</v>
      </c>
      <c r="AC51" s="24" t="s">
        <v>1</v>
      </c>
      <c r="AD51" s="44">
        <v>1</v>
      </c>
      <c r="AE51" s="24" t="s">
        <v>2</v>
      </c>
      <c r="AF51" s="45">
        <f t="shared" si="5"/>
        <v>1.1583599999999998</v>
      </c>
      <c r="AH51" s="50">
        <f t="shared" si="6"/>
        <v>3.9220000000000002</v>
      </c>
      <c r="AI51" s="13">
        <f t="shared" si="7"/>
        <v>8.6876999999999995</v>
      </c>
      <c r="AJ51" s="13">
        <f t="shared" si="8"/>
        <v>1</v>
      </c>
      <c r="AK51" s="13">
        <f t="shared" si="9"/>
        <v>34.073159400000002</v>
      </c>
    </row>
    <row r="52" spans="2:37" ht="30" customHeight="1" x14ac:dyDescent="0.15">
      <c r="B52" s="94">
        <v>47</v>
      </c>
      <c r="C52" s="88" t="s">
        <v>142</v>
      </c>
      <c r="D52" s="101" t="s">
        <v>96</v>
      </c>
      <c r="E52" s="40" t="s">
        <v>248</v>
      </c>
      <c r="F52" s="43">
        <v>1.47</v>
      </c>
      <c r="G52" s="44">
        <v>2.9550000000000001</v>
      </c>
      <c r="H52" s="44">
        <v>0</v>
      </c>
      <c r="I52" s="45">
        <v>4.3438499999999998</v>
      </c>
      <c r="J52" s="48">
        <v>3.9215686274509802</v>
      </c>
      <c r="K52" s="44" t="s">
        <v>242</v>
      </c>
      <c r="L52" s="44">
        <v>4.3438499999999998</v>
      </c>
      <c r="M52" s="44" t="s">
        <v>242</v>
      </c>
      <c r="N52" s="44">
        <v>1</v>
      </c>
      <c r="O52" s="44" t="s">
        <v>243</v>
      </c>
      <c r="P52" s="45">
        <v>17.034705882352938</v>
      </c>
      <c r="Q52" s="43" t="s">
        <v>219</v>
      </c>
      <c r="R52" s="44">
        <v>0.13333333333333333</v>
      </c>
      <c r="S52" s="44" t="s">
        <v>242</v>
      </c>
      <c r="T52" s="44">
        <v>4.3438499999999998</v>
      </c>
      <c r="U52" s="44" t="s">
        <v>242</v>
      </c>
      <c r="V52" s="44">
        <v>1</v>
      </c>
      <c r="W52" s="44" t="s">
        <v>243</v>
      </c>
      <c r="X52" s="45">
        <v>0.57917999999999992</v>
      </c>
      <c r="Y52" s="43" t="s">
        <v>219</v>
      </c>
      <c r="Z52" s="44">
        <v>0.13333333333333333</v>
      </c>
      <c r="AA52" s="44" t="s">
        <v>242</v>
      </c>
      <c r="AB52" s="44">
        <v>4.3438499999999998</v>
      </c>
      <c r="AC52" s="44" t="s">
        <v>242</v>
      </c>
      <c r="AD52" s="44">
        <v>1</v>
      </c>
      <c r="AE52" s="44" t="s">
        <v>243</v>
      </c>
      <c r="AF52" s="45">
        <v>0.57917999999999992</v>
      </c>
      <c r="AH52" s="50">
        <f t="shared" ref="AH52" si="16">ROUND(J52,3)</f>
        <v>3.9220000000000002</v>
      </c>
      <c r="AI52" s="13">
        <f t="shared" ref="AI52" si="17">L52</f>
        <v>4.3438499999999998</v>
      </c>
      <c r="AJ52" s="13">
        <f t="shared" ref="AJ52" si="18">N52</f>
        <v>1</v>
      </c>
      <c r="AK52" s="13">
        <f t="shared" ref="AK52" si="19">AH52*AI52*AJ52</f>
        <v>17.036579700000001</v>
      </c>
    </row>
    <row r="53" spans="2:37" ht="30" customHeight="1" x14ac:dyDescent="0.15">
      <c r="B53" s="94">
        <v>48</v>
      </c>
      <c r="C53" s="88"/>
      <c r="D53" s="101"/>
      <c r="E53" s="40"/>
      <c r="F53" s="43"/>
      <c r="G53" s="44"/>
      <c r="H53" s="44"/>
      <c r="I53" s="45"/>
      <c r="J53" s="48"/>
      <c r="K53" s="44"/>
      <c r="L53" s="44"/>
      <c r="M53" s="44"/>
      <c r="N53" s="44"/>
      <c r="O53" s="44"/>
      <c r="P53" s="45"/>
      <c r="Q53" s="43"/>
      <c r="R53" s="44"/>
      <c r="S53" s="44"/>
      <c r="T53" s="44"/>
      <c r="U53" s="44"/>
      <c r="V53" s="44"/>
      <c r="W53" s="44"/>
      <c r="X53" s="45"/>
      <c r="Y53" s="43"/>
      <c r="Z53" s="44"/>
      <c r="AA53" s="44"/>
      <c r="AB53" s="44"/>
      <c r="AC53" s="44"/>
      <c r="AD53" s="44"/>
      <c r="AE53" s="44"/>
      <c r="AF53" s="45"/>
      <c r="AH53" s="50"/>
    </row>
    <row r="54" spans="2:37" ht="30" customHeight="1" x14ac:dyDescent="0.15">
      <c r="B54" s="94">
        <v>49</v>
      </c>
      <c r="C54" s="88"/>
      <c r="D54" s="101"/>
      <c r="E54" s="40"/>
      <c r="F54" s="43"/>
      <c r="G54" s="44"/>
      <c r="H54" s="44"/>
      <c r="I54" s="45"/>
      <c r="J54" s="48"/>
      <c r="K54" s="44"/>
      <c r="L54" s="44"/>
      <c r="M54" s="44"/>
      <c r="N54" s="44"/>
      <c r="O54" s="44"/>
      <c r="P54" s="45"/>
      <c r="Q54" s="43"/>
      <c r="R54" s="44"/>
      <c r="S54" s="44"/>
      <c r="T54" s="44"/>
      <c r="U54" s="44"/>
      <c r="V54" s="44"/>
      <c r="W54" s="44"/>
      <c r="X54" s="45"/>
      <c r="Y54" s="43"/>
      <c r="Z54" s="44"/>
      <c r="AA54" s="44"/>
      <c r="AB54" s="44"/>
      <c r="AC54" s="44"/>
      <c r="AD54" s="44"/>
      <c r="AE54" s="44"/>
      <c r="AF54" s="45"/>
      <c r="AH54" s="50"/>
    </row>
    <row r="55" spans="2:37" ht="30" customHeight="1" x14ac:dyDescent="0.15">
      <c r="B55" s="94">
        <v>50</v>
      </c>
      <c r="C55" s="88"/>
      <c r="D55" s="101"/>
      <c r="E55" s="40"/>
      <c r="F55" s="43"/>
      <c r="G55" s="44"/>
      <c r="H55" s="44"/>
      <c r="I55" s="45"/>
      <c r="J55" s="48"/>
      <c r="K55" s="44"/>
      <c r="L55" s="44"/>
      <c r="M55" s="44"/>
      <c r="N55" s="44"/>
      <c r="O55" s="44"/>
      <c r="P55" s="45"/>
      <c r="Q55" s="43"/>
      <c r="R55" s="44"/>
      <c r="S55" s="44"/>
      <c r="T55" s="44"/>
      <c r="U55" s="44"/>
      <c r="V55" s="44"/>
      <c r="W55" s="44"/>
      <c r="X55" s="45"/>
      <c r="Y55" s="43"/>
      <c r="Z55" s="44"/>
      <c r="AA55" s="44"/>
      <c r="AB55" s="44"/>
      <c r="AC55" s="44"/>
      <c r="AD55" s="44"/>
      <c r="AE55" s="44"/>
      <c r="AF55" s="45"/>
      <c r="AH55" s="50"/>
    </row>
    <row r="56" spans="2:37" ht="30" customHeight="1" x14ac:dyDescent="0.15">
      <c r="B56" s="94">
        <v>51</v>
      </c>
      <c r="C56" s="88"/>
      <c r="D56" s="101"/>
      <c r="E56" s="40"/>
      <c r="F56" s="43"/>
      <c r="G56" s="44"/>
      <c r="H56" s="44"/>
      <c r="I56" s="45"/>
      <c r="J56" s="48"/>
      <c r="K56" s="44"/>
      <c r="L56" s="44"/>
      <c r="M56" s="44"/>
      <c r="N56" s="44"/>
      <c r="O56" s="44"/>
      <c r="P56" s="45"/>
      <c r="Q56" s="43"/>
      <c r="R56" s="44"/>
      <c r="S56" s="44"/>
      <c r="T56" s="44"/>
      <c r="U56" s="44"/>
      <c r="V56" s="44"/>
      <c r="W56" s="44"/>
      <c r="X56" s="45"/>
      <c r="Y56" s="43"/>
      <c r="Z56" s="44"/>
      <c r="AA56" s="44"/>
      <c r="AB56" s="44"/>
      <c r="AC56" s="44"/>
      <c r="AD56" s="44"/>
      <c r="AE56" s="44"/>
      <c r="AF56" s="45"/>
      <c r="AH56" s="50"/>
    </row>
    <row r="57" spans="2:37" ht="30" customHeight="1" x14ac:dyDescent="0.15">
      <c r="B57" s="94">
        <v>52</v>
      </c>
      <c r="C57" s="88"/>
      <c r="D57" s="101"/>
      <c r="E57" s="40"/>
      <c r="F57" s="43"/>
      <c r="G57" s="44"/>
      <c r="H57" s="44"/>
      <c r="I57" s="45"/>
      <c r="J57" s="48"/>
      <c r="K57" s="44"/>
      <c r="L57" s="44"/>
      <c r="M57" s="44"/>
      <c r="N57" s="44"/>
      <c r="O57" s="44"/>
      <c r="P57" s="45"/>
      <c r="Q57" s="43"/>
      <c r="R57" s="44"/>
      <c r="S57" s="44"/>
      <c r="T57" s="44"/>
      <c r="U57" s="44"/>
      <c r="V57" s="44"/>
      <c r="W57" s="44"/>
      <c r="X57" s="45"/>
      <c r="Y57" s="43"/>
      <c r="Z57" s="44"/>
      <c r="AA57" s="44"/>
      <c r="AB57" s="44"/>
      <c r="AC57" s="44"/>
      <c r="AD57" s="44"/>
      <c r="AE57" s="44"/>
      <c r="AF57" s="45"/>
      <c r="AH57" s="50"/>
    </row>
    <row r="58" spans="2:37" ht="30" customHeight="1" x14ac:dyDescent="0.15">
      <c r="B58" s="94">
        <v>53</v>
      </c>
      <c r="C58" s="88"/>
      <c r="D58" s="101"/>
      <c r="E58" s="40"/>
      <c r="F58" s="43"/>
      <c r="G58" s="44"/>
      <c r="H58" s="44"/>
      <c r="I58" s="45"/>
      <c r="J58" s="48"/>
      <c r="K58" s="44"/>
      <c r="L58" s="44"/>
      <c r="M58" s="44"/>
      <c r="N58" s="44"/>
      <c r="O58" s="44"/>
      <c r="P58" s="45"/>
      <c r="Q58" s="43"/>
      <c r="R58" s="44"/>
      <c r="S58" s="44"/>
      <c r="T58" s="44"/>
      <c r="U58" s="44"/>
      <c r="V58" s="44"/>
      <c r="W58" s="44"/>
      <c r="X58" s="45"/>
      <c r="Y58" s="43"/>
      <c r="Z58" s="44"/>
      <c r="AA58" s="44"/>
      <c r="AB58" s="44"/>
      <c r="AC58" s="44"/>
      <c r="AD58" s="44"/>
      <c r="AE58" s="44"/>
      <c r="AF58" s="45"/>
      <c r="AH58" s="50"/>
    </row>
    <row r="59" spans="2:37" ht="30" customHeight="1" x14ac:dyDescent="0.15">
      <c r="B59" s="94">
        <v>54</v>
      </c>
      <c r="C59" s="88"/>
      <c r="D59" s="101"/>
      <c r="E59" s="40"/>
      <c r="F59" s="43"/>
      <c r="G59" s="44"/>
      <c r="H59" s="44"/>
      <c r="I59" s="45"/>
      <c r="J59" s="48"/>
      <c r="K59" s="44"/>
      <c r="L59" s="44"/>
      <c r="M59" s="44"/>
      <c r="N59" s="44"/>
      <c r="O59" s="44"/>
      <c r="P59" s="45"/>
      <c r="Q59" s="43"/>
      <c r="R59" s="44"/>
      <c r="S59" s="44"/>
      <c r="T59" s="44"/>
      <c r="U59" s="44"/>
      <c r="V59" s="44"/>
      <c r="W59" s="44"/>
      <c r="X59" s="45"/>
      <c r="Y59" s="43"/>
      <c r="Z59" s="44"/>
      <c r="AA59" s="44"/>
      <c r="AB59" s="44"/>
      <c r="AC59" s="44"/>
      <c r="AD59" s="44"/>
      <c r="AE59" s="44"/>
      <c r="AF59" s="45"/>
      <c r="AH59" s="50"/>
    </row>
    <row r="60" spans="2:37" ht="30" customHeight="1" x14ac:dyDescent="0.15">
      <c r="B60" s="94">
        <v>55</v>
      </c>
      <c r="C60" s="88"/>
      <c r="D60" s="101"/>
      <c r="E60" s="40"/>
      <c r="F60" s="43"/>
      <c r="G60" s="44"/>
      <c r="H60" s="44"/>
      <c r="I60" s="45"/>
      <c r="J60" s="48"/>
      <c r="K60" s="44"/>
      <c r="L60" s="44"/>
      <c r="M60" s="44"/>
      <c r="N60" s="44"/>
      <c r="O60" s="44"/>
      <c r="P60" s="45"/>
      <c r="Q60" s="43"/>
      <c r="R60" s="44"/>
      <c r="S60" s="44"/>
      <c r="T60" s="44"/>
      <c r="U60" s="44"/>
      <c r="V60" s="44"/>
      <c r="W60" s="44"/>
      <c r="X60" s="45"/>
      <c r="Y60" s="43"/>
      <c r="Z60" s="44"/>
      <c r="AA60" s="44"/>
      <c r="AB60" s="44"/>
      <c r="AC60" s="44"/>
      <c r="AD60" s="44"/>
      <c r="AE60" s="44"/>
      <c r="AF60" s="45"/>
      <c r="AH60" s="50"/>
    </row>
    <row r="61" spans="2:37" ht="30" customHeight="1" x14ac:dyDescent="0.15">
      <c r="B61" s="94">
        <v>56</v>
      </c>
      <c r="C61" s="88"/>
      <c r="D61" s="101"/>
      <c r="E61" s="40"/>
      <c r="F61" s="43"/>
      <c r="G61" s="44"/>
      <c r="H61" s="44"/>
      <c r="I61" s="45"/>
      <c r="J61" s="48"/>
      <c r="K61" s="44"/>
      <c r="L61" s="44"/>
      <c r="M61" s="44"/>
      <c r="N61" s="44"/>
      <c r="O61" s="44"/>
      <c r="P61" s="45"/>
      <c r="Q61" s="43"/>
      <c r="R61" s="44"/>
      <c r="S61" s="44"/>
      <c r="T61" s="44"/>
      <c r="U61" s="44"/>
      <c r="V61" s="44"/>
      <c r="W61" s="44"/>
      <c r="X61" s="45"/>
      <c r="Y61" s="43"/>
      <c r="Z61" s="44"/>
      <c r="AA61" s="44"/>
      <c r="AB61" s="44"/>
      <c r="AC61" s="44"/>
      <c r="AD61" s="44"/>
      <c r="AE61" s="44"/>
      <c r="AF61" s="45"/>
      <c r="AH61" s="50"/>
    </row>
    <row r="62" spans="2:37" ht="30" customHeight="1" x14ac:dyDescent="0.15">
      <c r="B62" s="94">
        <v>57</v>
      </c>
      <c r="C62" s="88"/>
      <c r="D62" s="101"/>
      <c r="E62" s="40"/>
      <c r="F62" s="43"/>
      <c r="G62" s="44"/>
      <c r="H62" s="44"/>
      <c r="I62" s="45"/>
      <c r="J62" s="48"/>
      <c r="K62" s="44"/>
      <c r="L62" s="44"/>
      <c r="M62" s="44"/>
      <c r="N62" s="44"/>
      <c r="O62" s="44"/>
      <c r="P62" s="45"/>
      <c r="Q62" s="43"/>
      <c r="R62" s="44"/>
      <c r="S62" s="44"/>
      <c r="T62" s="44"/>
      <c r="U62" s="44"/>
      <c r="V62" s="44"/>
      <c r="W62" s="44"/>
      <c r="X62" s="45"/>
      <c r="Y62" s="43"/>
      <c r="Z62" s="44"/>
      <c r="AA62" s="44"/>
      <c r="AB62" s="44"/>
      <c r="AC62" s="44"/>
      <c r="AD62" s="44"/>
      <c r="AE62" s="44"/>
      <c r="AF62" s="45"/>
      <c r="AH62" s="50"/>
    </row>
    <row r="63" spans="2:37" ht="30" customHeight="1" x14ac:dyDescent="0.15">
      <c r="B63" s="94">
        <v>58</v>
      </c>
      <c r="C63" s="88"/>
      <c r="D63" s="101"/>
      <c r="E63" s="40"/>
      <c r="F63" s="43"/>
      <c r="G63" s="44"/>
      <c r="H63" s="44"/>
      <c r="I63" s="45"/>
      <c r="J63" s="48"/>
      <c r="K63" s="44"/>
      <c r="L63" s="44"/>
      <c r="M63" s="44"/>
      <c r="N63" s="44"/>
      <c r="O63" s="44"/>
      <c r="P63" s="45"/>
      <c r="Q63" s="43"/>
      <c r="R63" s="44"/>
      <c r="S63" s="44"/>
      <c r="T63" s="44"/>
      <c r="U63" s="44"/>
      <c r="V63" s="44"/>
      <c r="W63" s="44"/>
      <c r="X63" s="45"/>
      <c r="Y63" s="43"/>
      <c r="Z63" s="44"/>
      <c r="AA63" s="44"/>
      <c r="AB63" s="44"/>
      <c r="AC63" s="44"/>
      <c r="AD63" s="44"/>
      <c r="AE63" s="44"/>
      <c r="AF63" s="45"/>
      <c r="AH63" s="50"/>
    </row>
    <row r="64" spans="2:37" ht="30" customHeight="1" x14ac:dyDescent="0.15">
      <c r="B64" s="94">
        <v>59</v>
      </c>
      <c r="C64" s="88"/>
      <c r="D64" s="101"/>
      <c r="E64" s="40"/>
      <c r="F64" s="43"/>
      <c r="G64" s="44"/>
      <c r="H64" s="44"/>
      <c r="I64" s="45"/>
      <c r="J64" s="48"/>
      <c r="K64" s="44"/>
      <c r="L64" s="44"/>
      <c r="M64" s="44"/>
      <c r="N64" s="44"/>
      <c r="O64" s="44"/>
      <c r="P64" s="45"/>
      <c r="Q64" s="43"/>
      <c r="R64" s="44"/>
      <c r="S64" s="44"/>
      <c r="T64" s="44"/>
      <c r="U64" s="44"/>
      <c r="V64" s="44"/>
      <c r="W64" s="44"/>
      <c r="X64" s="45"/>
      <c r="Y64" s="43"/>
      <c r="Z64" s="44"/>
      <c r="AA64" s="44"/>
      <c r="AB64" s="44"/>
      <c r="AC64" s="44"/>
      <c r="AD64" s="44"/>
      <c r="AE64" s="44"/>
      <c r="AF64" s="45"/>
      <c r="AH64" s="50"/>
    </row>
    <row r="65" spans="2:34" ht="30" customHeight="1" x14ac:dyDescent="0.15">
      <c r="B65" s="94">
        <v>60</v>
      </c>
      <c r="C65" s="88"/>
      <c r="D65" s="101"/>
      <c r="E65" s="40"/>
      <c r="F65" s="43"/>
      <c r="G65" s="44"/>
      <c r="H65" s="44"/>
      <c r="I65" s="45"/>
      <c r="J65" s="48"/>
      <c r="K65" s="44"/>
      <c r="L65" s="44"/>
      <c r="M65" s="44"/>
      <c r="N65" s="44"/>
      <c r="O65" s="44"/>
      <c r="P65" s="45"/>
      <c r="Q65" s="43"/>
      <c r="R65" s="44"/>
      <c r="S65" s="44"/>
      <c r="T65" s="44"/>
      <c r="U65" s="44"/>
      <c r="V65" s="44"/>
      <c r="W65" s="44"/>
      <c r="X65" s="45"/>
      <c r="Y65" s="43"/>
      <c r="Z65" s="44"/>
      <c r="AA65" s="44"/>
      <c r="AB65" s="44"/>
      <c r="AC65" s="44"/>
      <c r="AD65" s="44"/>
      <c r="AE65" s="44"/>
      <c r="AF65" s="45"/>
      <c r="AH65" s="50"/>
    </row>
    <row r="66" spans="2:34" ht="30" customHeight="1" x14ac:dyDescent="0.15">
      <c r="B66" s="94">
        <v>61</v>
      </c>
      <c r="C66" s="88"/>
      <c r="D66" s="101"/>
      <c r="E66" s="40"/>
      <c r="F66" s="43"/>
      <c r="G66" s="44"/>
      <c r="H66" s="44"/>
      <c r="I66" s="45"/>
      <c r="J66" s="48"/>
      <c r="K66" s="44"/>
      <c r="L66" s="44"/>
      <c r="M66" s="44"/>
      <c r="N66" s="44"/>
      <c r="O66" s="44"/>
      <c r="P66" s="45"/>
      <c r="Q66" s="43"/>
      <c r="R66" s="44"/>
      <c r="S66" s="44"/>
      <c r="T66" s="44"/>
      <c r="U66" s="44"/>
      <c r="V66" s="44"/>
      <c r="W66" s="44"/>
      <c r="X66" s="45"/>
      <c r="Y66" s="43"/>
      <c r="Z66" s="44"/>
      <c r="AA66" s="44"/>
      <c r="AB66" s="44"/>
      <c r="AC66" s="44"/>
      <c r="AD66" s="44"/>
      <c r="AE66" s="44"/>
      <c r="AF66" s="45"/>
      <c r="AH66" s="50"/>
    </row>
    <row r="67" spans="2:34" ht="30" customHeight="1" x14ac:dyDescent="0.15">
      <c r="B67" s="94">
        <v>62</v>
      </c>
      <c r="C67" s="88"/>
      <c r="D67" s="101"/>
      <c r="E67" s="40"/>
      <c r="F67" s="43"/>
      <c r="G67" s="44"/>
      <c r="H67" s="44"/>
      <c r="I67" s="45"/>
      <c r="J67" s="48"/>
      <c r="K67" s="44"/>
      <c r="L67" s="44"/>
      <c r="M67" s="44"/>
      <c r="N67" s="44"/>
      <c r="O67" s="44"/>
      <c r="P67" s="45"/>
      <c r="Q67" s="43"/>
      <c r="R67" s="44"/>
      <c r="S67" s="44"/>
      <c r="T67" s="44"/>
      <c r="U67" s="44"/>
      <c r="V67" s="44"/>
      <c r="W67" s="44"/>
      <c r="X67" s="45"/>
      <c r="Y67" s="43"/>
      <c r="Z67" s="44"/>
      <c r="AA67" s="44"/>
      <c r="AB67" s="44"/>
      <c r="AC67" s="44"/>
      <c r="AD67" s="44"/>
      <c r="AE67" s="44"/>
      <c r="AF67" s="45"/>
      <c r="AH67" s="50"/>
    </row>
    <row r="68" spans="2:34" ht="30" customHeight="1" x14ac:dyDescent="0.15">
      <c r="B68" s="94">
        <v>63</v>
      </c>
      <c r="C68" s="88"/>
      <c r="D68" s="101"/>
      <c r="E68" s="40"/>
      <c r="F68" s="43"/>
      <c r="G68" s="44"/>
      <c r="H68" s="44"/>
      <c r="I68" s="45"/>
      <c r="J68" s="48"/>
      <c r="K68" s="44"/>
      <c r="L68" s="44"/>
      <c r="M68" s="44"/>
      <c r="N68" s="44"/>
      <c r="O68" s="44"/>
      <c r="P68" s="45"/>
      <c r="Q68" s="43"/>
      <c r="R68" s="44"/>
      <c r="S68" s="44"/>
      <c r="T68" s="44"/>
      <c r="U68" s="44"/>
      <c r="V68" s="44"/>
      <c r="W68" s="44"/>
      <c r="X68" s="45"/>
      <c r="Y68" s="43"/>
      <c r="Z68" s="44"/>
      <c r="AA68" s="44"/>
      <c r="AB68" s="44"/>
      <c r="AC68" s="44"/>
      <c r="AD68" s="44"/>
      <c r="AE68" s="44"/>
      <c r="AF68" s="45"/>
      <c r="AH68" s="50"/>
    </row>
    <row r="69" spans="2:34" ht="30" customHeight="1" x14ac:dyDescent="0.15">
      <c r="B69" s="94">
        <v>64</v>
      </c>
      <c r="C69" s="88"/>
      <c r="D69" s="101"/>
      <c r="E69" s="40"/>
      <c r="F69" s="43"/>
      <c r="G69" s="44"/>
      <c r="H69" s="44"/>
      <c r="I69" s="45"/>
      <c r="J69" s="48"/>
      <c r="K69" s="44"/>
      <c r="L69" s="44"/>
      <c r="M69" s="44"/>
      <c r="N69" s="44"/>
      <c r="O69" s="44"/>
      <c r="P69" s="45"/>
      <c r="Q69" s="43"/>
      <c r="R69" s="44"/>
      <c r="S69" s="44"/>
      <c r="T69" s="44"/>
      <c r="U69" s="44"/>
      <c r="V69" s="44"/>
      <c r="W69" s="44"/>
      <c r="X69" s="45"/>
      <c r="Y69" s="43"/>
      <c r="Z69" s="44"/>
      <c r="AA69" s="44"/>
      <c r="AB69" s="44"/>
      <c r="AC69" s="44"/>
      <c r="AD69" s="44"/>
      <c r="AE69" s="44"/>
      <c r="AF69" s="45"/>
      <c r="AH69" s="50"/>
    </row>
    <row r="70" spans="2:34" ht="30" customHeight="1" x14ac:dyDescent="0.15">
      <c r="B70" s="94">
        <v>65</v>
      </c>
      <c r="C70" s="88"/>
      <c r="D70" s="101"/>
      <c r="E70" s="40"/>
      <c r="F70" s="43"/>
      <c r="G70" s="44"/>
      <c r="H70" s="44"/>
      <c r="I70" s="45"/>
      <c r="J70" s="48"/>
      <c r="K70" s="44"/>
      <c r="L70" s="44"/>
      <c r="M70" s="44"/>
      <c r="N70" s="44"/>
      <c r="O70" s="44"/>
      <c r="P70" s="45"/>
      <c r="Q70" s="43"/>
      <c r="R70" s="44"/>
      <c r="S70" s="44"/>
      <c r="T70" s="44"/>
      <c r="U70" s="44"/>
      <c r="V70" s="44"/>
      <c r="W70" s="44"/>
      <c r="X70" s="45"/>
      <c r="Y70" s="43"/>
      <c r="Z70" s="44"/>
      <c r="AA70" s="44"/>
      <c r="AB70" s="44"/>
      <c r="AC70" s="44"/>
      <c r="AD70" s="44"/>
      <c r="AE70" s="44"/>
      <c r="AF70" s="45"/>
      <c r="AH70" s="50"/>
    </row>
    <row r="71" spans="2:34" ht="30" customHeight="1" x14ac:dyDescent="0.15">
      <c r="B71" s="94">
        <v>66</v>
      </c>
      <c r="C71" s="88"/>
      <c r="D71" s="101"/>
      <c r="E71" s="40"/>
      <c r="F71" s="43"/>
      <c r="G71" s="44"/>
      <c r="H71" s="44"/>
      <c r="I71" s="45"/>
      <c r="J71" s="48"/>
      <c r="K71" s="44"/>
      <c r="L71" s="44"/>
      <c r="M71" s="44"/>
      <c r="N71" s="44"/>
      <c r="O71" s="44"/>
      <c r="P71" s="45"/>
      <c r="Q71" s="43"/>
      <c r="R71" s="44"/>
      <c r="S71" s="44"/>
      <c r="T71" s="44"/>
      <c r="U71" s="44"/>
      <c r="V71" s="44"/>
      <c r="W71" s="44"/>
      <c r="X71" s="45"/>
      <c r="Y71" s="43"/>
      <c r="Z71" s="44"/>
      <c r="AA71" s="44"/>
      <c r="AB71" s="44"/>
      <c r="AC71" s="44"/>
      <c r="AD71" s="44"/>
      <c r="AE71" s="44"/>
      <c r="AF71" s="45"/>
      <c r="AH71" s="50"/>
    </row>
    <row r="72" spans="2:34" ht="30" customHeight="1" x14ac:dyDescent="0.15">
      <c r="B72" s="94">
        <v>67</v>
      </c>
      <c r="C72" s="88"/>
      <c r="D72" s="101"/>
      <c r="E72" s="40"/>
      <c r="F72" s="43"/>
      <c r="G72" s="44"/>
      <c r="H72" s="44"/>
      <c r="I72" s="45"/>
      <c r="J72" s="48"/>
      <c r="K72" s="44"/>
      <c r="L72" s="44"/>
      <c r="M72" s="44"/>
      <c r="N72" s="44"/>
      <c r="O72" s="44"/>
      <c r="P72" s="45"/>
      <c r="Q72" s="43"/>
      <c r="R72" s="44"/>
      <c r="S72" s="44"/>
      <c r="T72" s="44"/>
      <c r="U72" s="44"/>
      <c r="V72" s="44"/>
      <c r="W72" s="44"/>
      <c r="X72" s="45"/>
      <c r="Y72" s="43"/>
      <c r="Z72" s="44"/>
      <c r="AA72" s="44"/>
      <c r="AB72" s="44"/>
      <c r="AC72" s="44"/>
      <c r="AD72" s="44"/>
      <c r="AE72" s="44"/>
      <c r="AF72" s="45"/>
      <c r="AH72" s="50"/>
    </row>
    <row r="73" spans="2:34" ht="30" customHeight="1" x14ac:dyDescent="0.15">
      <c r="B73" s="94">
        <v>68</v>
      </c>
      <c r="C73" s="88"/>
      <c r="D73" s="101"/>
      <c r="E73" s="40"/>
      <c r="F73" s="43"/>
      <c r="G73" s="44"/>
      <c r="H73" s="44"/>
      <c r="I73" s="45"/>
      <c r="J73" s="48"/>
      <c r="K73" s="44"/>
      <c r="L73" s="44"/>
      <c r="M73" s="44"/>
      <c r="N73" s="44"/>
      <c r="O73" s="44"/>
      <c r="P73" s="45"/>
      <c r="Q73" s="43"/>
      <c r="R73" s="44"/>
      <c r="S73" s="44"/>
      <c r="T73" s="44"/>
      <c r="U73" s="44"/>
      <c r="V73" s="44"/>
      <c r="W73" s="44"/>
      <c r="X73" s="45"/>
      <c r="Y73" s="43"/>
      <c r="Z73" s="44"/>
      <c r="AA73" s="44"/>
      <c r="AB73" s="44"/>
      <c r="AC73" s="44"/>
      <c r="AD73" s="44"/>
      <c r="AE73" s="44"/>
      <c r="AF73" s="45"/>
      <c r="AH73" s="50"/>
    </row>
    <row r="74" spans="2:34" ht="30" customHeight="1" x14ac:dyDescent="0.15">
      <c r="B74" s="94">
        <v>69</v>
      </c>
      <c r="C74" s="88"/>
      <c r="D74" s="101"/>
      <c r="E74" s="40"/>
      <c r="F74" s="43"/>
      <c r="G74" s="44"/>
      <c r="H74" s="44"/>
      <c r="I74" s="45"/>
      <c r="J74" s="48"/>
      <c r="K74" s="44"/>
      <c r="L74" s="44"/>
      <c r="M74" s="44"/>
      <c r="N74" s="44"/>
      <c r="O74" s="44"/>
      <c r="P74" s="45"/>
      <c r="Q74" s="43"/>
      <c r="R74" s="44"/>
      <c r="S74" s="44"/>
      <c r="T74" s="44"/>
      <c r="U74" s="44"/>
      <c r="V74" s="44"/>
      <c r="W74" s="44"/>
      <c r="X74" s="45"/>
      <c r="Y74" s="43"/>
      <c r="Z74" s="44"/>
      <c r="AA74" s="44"/>
      <c r="AB74" s="44"/>
      <c r="AC74" s="44"/>
      <c r="AD74" s="44"/>
      <c r="AE74" s="44"/>
      <c r="AF74" s="45"/>
      <c r="AH74" s="50"/>
    </row>
    <row r="75" spans="2:34" ht="30" customHeight="1" x14ac:dyDescent="0.15">
      <c r="B75" s="94">
        <v>70</v>
      </c>
      <c r="C75" s="88"/>
      <c r="D75" s="101"/>
      <c r="E75" s="40"/>
      <c r="F75" s="43"/>
      <c r="G75" s="44"/>
      <c r="H75" s="44"/>
      <c r="I75" s="45"/>
      <c r="J75" s="48"/>
      <c r="K75" s="44"/>
      <c r="L75" s="44"/>
      <c r="M75" s="44"/>
      <c r="N75" s="44"/>
      <c r="O75" s="44"/>
      <c r="P75" s="45"/>
      <c r="Q75" s="43"/>
      <c r="R75" s="44"/>
      <c r="S75" s="44"/>
      <c r="T75" s="44"/>
      <c r="U75" s="44"/>
      <c r="V75" s="44"/>
      <c r="W75" s="44"/>
      <c r="X75" s="45"/>
      <c r="Y75" s="43"/>
      <c r="Z75" s="44"/>
      <c r="AA75" s="44"/>
      <c r="AB75" s="44"/>
      <c r="AC75" s="44"/>
      <c r="AD75" s="44"/>
      <c r="AE75" s="44"/>
      <c r="AF75" s="45"/>
      <c r="AH75" s="50"/>
    </row>
    <row r="76" spans="2:34" ht="30" customHeight="1" x14ac:dyDescent="0.15">
      <c r="B76" s="94">
        <v>71</v>
      </c>
      <c r="C76" s="88"/>
      <c r="D76" s="101"/>
      <c r="E76" s="40"/>
      <c r="F76" s="43"/>
      <c r="G76" s="44"/>
      <c r="H76" s="44"/>
      <c r="I76" s="45"/>
      <c r="J76" s="48"/>
      <c r="K76" s="44"/>
      <c r="L76" s="44"/>
      <c r="M76" s="44"/>
      <c r="N76" s="44"/>
      <c r="O76" s="44"/>
      <c r="P76" s="45"/>
      <c r="Q76" s="43"/>
      <c r="R76" s="44"/>
      <c r="S76" s="44"/>
      <c r="T76" s="44"/>
      <c r="U76" s="44"/>
      <c r="V76" s="44"/>
      <c r="W76" s="44"/>
      <c r="X76" s="45"/>
      <c r="Y76" s="43"/>
      <c r="Z76" s="44"/>
      <c r="AA76" s="44"/>
      <c r="AB76" s="44"/>
      <c r="AC76" s="44"/>
      <c r="AD76" s="44"/>
      <c r="AE76" s="44"/>
      <c r="AF76" s="45"/>
      <c r="AH76" s="50"/>
    </row>
    <row r="77" spans="2:34" ht="30" customHeight="1" x14ac:dyDescent="0.15">
      <c r="B77" s="94">
        <v>72</v>
      </c>
      <c r="C77" s="88"/>
      <c r="D77" s="101"/>
      <c r="E77" s="40"/>
      <c r="F77" s="43"/>
      <c r="G77" s="44"/>
      <c r="H77" s="44"/>
      <c r="I77" s="45"/>
      <c r="J77" s="48"/>
      <c r="K77" s="44"/>
      <c r="L77" s="44"/>
      <c r="M77" s="44"/>
      <c r="N77" s="44"/>
      <c r="O77" s="44"/>
      <c r="P77" s="45"/>
      <c r="Q77" s="43"/>
      <c r="R77" s="44"/>
      <c r="S77" s="44"/>
      <c r="T77" s="44"/>
      <c r="U77" s="44"/>
      <c r="V77" s="44"/>
      <c r="W77" s="44"/>
      <c r="X77" s="45"/>
      <c r="Y77" s="43"/>
      <c r="Z77" s="44"/>
      <c r="AA77" s="44"/>
      <c r="AB77" s="44"/>
      <c r="AC77" s="44"/>
      <c r="AD77" s="44"/>
      <c r="AE77" s="44"/>
      <c r="AF77" s="45"/>
      <c r="AH77" s="50"/>
    </row>
    <row r="78" spans="2:34" ht="30" customHeight="1" x14ac:dyDescent="0.15">
      <c r="B78" s="94">
        <v>73</v>
      </c>
      <c r="C78" s="88"/>
      <c r="D78" s="101"/>
      <c r="E78" s="40"/>
      <c r="F78" s="43"/>
      <c r="G78" s="44"/>
      <c r="H78" s="44"/>
      <c r="I78" s="45"/>
      <c r="J78" s="48"/>
      <c r="K78" s="44"/>
      <c r="L78" s="44"/>
      <c r="M78" s="44"/>
      <c r="N78" s="44"/>
      <c r="O78" s="44"/>
      <c r="P78" s="45"/>
      <c r="Q78" s="43"/>
      <c r="R78" s="44"/>
      <c r="S78" s="44"/>
      <c r="T78" s="44"/>
      <c r="U78" s="44"/>
      <c r="V78" s="44"/>
      <c r="W78" s="44"/>
      <c r="X78" s="45"/>
      <c r="Y78" s="43"/>
      <c r="Z78" s="44"/>
      <c r="AA78" s="44"/>
      <c r="AB78" s="44"/>
      <c r="AC78" s="44"/>
      <c r="AD78" s="44"/>
      <c r="AE78" s="44"/>
      <c r="AF78" s="45"/>
      <c r="AH78" s="50"/>
    </row>
    <row r="79" spans="2:34" ht="30" customHeight="1" x14ac:dyDescent="0.15">
      <c r="B79" s="94">
        <v>74</v>
      </c>
      <c r="C79" s="88"/>
      <c r="D79" s="101"/>
      <c r="E79" s="40"/>
      <c r="F79" s="43"/>
      <c r="G79" s="44"/>
      <c r="H79" s="44"/>
      <c r="I79" s="45"/>
      <c r="J79" s="48"/>
      <c r="K79" s="44"/>
      <c r="L79" s="44"/>
      <c r="M79" s="44"/>
      <c r="N79" s="44"/>
      <c r="O79" s="44"/>
      <c r="P79" s="45"/>
      <c r="Q79" s="43"/>
      <c r="R79" s="44"/>
      <c r="S79" s="44"/>
      <c r="T79" s="44"/>
      <c r="U79" s="44"/>
      <c r="V79" s="44"/>
      <c r="W79" s="44"/>
      <c r="X79" s="45"/>
      <c r="Y79" s="43"/>
      <c r="Z79" s="44"/>
      <c r="AA79" s="44"/>
      <c r="AB79" s="44"/>
      <c r="AC79" s="44"/>
      <c r="AD79" s="44"/>
      <c r="AE79" s="44"/>
      <c r="AF79" s="45"/>
      <c r="AH79" s="50"/>
    </row>
    <row r="80" spans="2:34" ht="30" customHeight="1" x14ac:dyDescent="0.15">
      <c r="B80" s="94">
        <v>75</v>
      </c>
      <c r="C80" s="88"/>
      <c r="D80" s="101"/>
      <c r="E80" s="40"/>
      <c r="F80" s="43"/>
      <c r="G80" s="44"/>
      <c r="H80" s="44"/>
      <c r="I80" s="45"/>
      <c r="J80" s="48"/>
      <c r="K80" s="44"/>
      <c r="L80" s="44"/>
      <c r="M80" s="44"/>
      <c r="N80" s="44"/>
      <c r="O80" s="44"/>
      <c r="P80" s="45"/>
      <c r="Q80" s="43"/>
      <c r="R80" s="44"/>
      <c r="S80" s="44"/>
      <c r="T80" s="44"/>
      <c r="U80" s="44"/>
      <c r="V80" s="44"/>
      <c r="W80" s="44"/>
      <c r="X80" s="45"/>
      <c r="Y80" s="43"/>
      <c r="Z80" s="44"/>
      <c r="AA80" s="44"/>
      <c r="AB80" s="44"/>
      <c r="AC80" s="44"/>
      <c r="AD80" s="44"/>
      <c r="AE80" s="44"/>
      <c r="AF80" s="45"/>
      <c r="AH80" s="50"/>
    </row>
    <row r="81" spans="2:34" ht="30" customHeight="1" x14ac:dyDescent="0.15">
      <c r="B81" s="94">
        <v>76</v>
      </c>
      <c r="C81" s="88"/>
      <c r="D81" s="101"/>
      <c r="E81" s="40"/>
      <c r="F81" s="43"/>
      <c r="G81" s="44"/>
      <c r="H81" s="44"/>
      <c r="I81" s="45"/>
      <c r="J81" s="48"/>
      <c r="K81" s="44"/>
      <c r="L81" s="44"/>
      <c r="M81" s="44"/>
      <c r="N81" s="44"/>
      <c r="O81" s="44"/>
      <c r="P81" s="45"/>
      <c r="Q81" s="43"/>
      <c r="R81" s="44"/>
      <c r="S81" s="44"/>
      <c r="T81" s="44"/>
      <c r="U81" s="44"/>
      <c r="V81" s="44"/>
      <c r="W81" s="44"/>
      <c r="X81" s="45"/>
      <c r="Y81" s="43"/>
      <c r="Z81" s="44"/>
      <c r="AA81" s="44"/>
      <c r="AB81" s="44"/>
      <c r="AC81" s="44"/>
      <c r="AD81" s="44"/>
      <c r="AE81" s="44"/>
      <c r="AF81" s="45"/>
      <c r="AH81" s="50"/>
    </row>
    <row r="82" spans="2:34" ht="30" customHeight="1" x14ac:dyDescent="0.15">
      <c r="B82" s="94">
        <v>77</v>
      </c>
      <c r="C82" s="88"/>
      <c r="D82" s="101"/>
      <c r="E82" s="40"/>
      <c r="F82" s="43"/>
      <c r="G82" s="44"/>
      <c r="H82" s="44"/>
      <c r="I82" s="45"/>
      <c r="J82" s="48"/>
      <c r="K82" s="44"/>
      <c r="L82" s="44"/>
      <c r="M82" s="44"/>
      <c r="N82" s="44"/>
      <c r="O82" s="44"/>
      <c r="P82" s="45"/>
      <c r="Q82" s="43"/>
      <c r="R82" s="44"/>
      <c r="S82" s="44"/>
      <c r="T82" s="44"/>
      <c r="U82" s="44"/>
      <c r="V82" s="44"/>
      <c r="W82" s="44"/>
      <c r="X82" s="45"/>
      <c r="Y82" s="43"/>
      <c r="Z82" s="44"/>
      <c r="AA82" s="44"/>
      <c r="AB82" s="44"/>
      <c r="AC82" s="44"/>
      <c r="AD82" s="44"/>
      <c r="AE82" s="44"/>
      <c r="AF82" s="45"/>
      <c r="AH82" s="50"/>
    </row>
    <row r="83" spans="2:34" ht="30" customHeight="1" x14ac:dyDescent="0.15">
      <c r="B83" s="94">
        <v>78</v>
      </c>
      <c r="C83" s="88"/>
      <c r="D83" s="101"/>
      <c r="E83" s="40"/>
      <c r="F83" s="43"/>
      <c r="G83" s="44"/>
      <c r="H83" s="44"/>
      <c r="I83" s="45"/>
      <c r="J83" s="48"/>
      <c r="K83" s="44"/>
      <c r="L83" s="44"/>
      <c r="M83" s="44"/>
      <c r="N83" s="44"/>
      <c r="O83" s="44"/>
      <c r="P83" s="45"/>
      <c r="Q83" s="43"/>
      <c r="R83" s="44"/>
      <c r="S83" s="44"/>
      <c r="T83" s="44"/>
      <c r="U83" s="44"/>
      <c r="V83" s="44"/>
      <c r="W83" s="44"/>
      <c r="X83" s="45"/>
      <c r="Y83" s="43"/>
      <c r="Z83" s="44"/>
      <c r="AA83" s="44"/>
      <c r="AB83" s="44"/>
      <c r="AC83" s="44"/>
      <c r="AD83" s="44"/>
      <c r="AE83" s="44"/>
      <c r="AF83" s="45"/>
      <c r="AH83" s="50"/>
    </row>
    <row r="84" spans="2:34" ht="30" customHeight="1" x14ac:dyDescent="0.15">
      <c r="B84" s="94">
        <v>79</v>
      </c>
      <c r="C84" s="88"/>
      <c r="D84" s="101"/>
      <c r="E84" s="40"/>
      <c r="F84" s="43"/>
      <c r="G84" s="44"/>
      <c r="H84" s="44"/>
      <c r="I84" s="45"/>
      <c r="J84" s="48"/>
      <c r="K84" s="44"/>
      <c r="L84" s="44"/>
      <c r="M84" s="44"/>
      <c r="N84" s="44"/>
      <c r="O84" s="44"/>
      <c r="P84" s="45"/>
      <c r="Q84" s="43"/>
      <c r="R84" s="44"/>
      <c r="S84" s="44"/>
      <c r="T84" s="44"/>
      <c r="U84" s="44"/>
      <c r="V84" s="44"/>
      <c r="W84" s="44"/>
      <c r="X84" s="45"/>
      <c r="Y84" s="43"/>
      <c r="Z84" s="44"/>
      <c r="AA84" s="44"/>
      <c r="AB84" s="44"/>
      <c r="AC84" s="44"/>
      <c r="AD84" s="44"/>
      <c r="AE84" s="44"/>
      <c r="AF84" s="45"/>
      <c r="AH84" s="50"/>
    </row>
    <row r="85" spans="2:34" ht="30" customHeight="1" x14ac:dyDescent="0.15">
      <c r="B85" s="94">
        <v>80</v>
      </c>
      <c r="C85" s="88"/>
      <c r="D85" s="101"/>
      <c r="E85" s="40"/>
      <c r="F85" s="43"/>
      <c r="G85" s="44"/>
      <c r="H85" s="44"/>
      <c r="I85" s="45"/>
      <c r="J85" s="48"/>
      <c r="K85" s="44"/>
      <c r="L85" s="44"/>
      <c r="M85" s="44"/>
      <c r="N85" s="44"/>
      <c r="O85" s="44"/>
      <c r="P85" s="45"/>
      <c r="Q85" s="43"/>
      <c r="R85" s="44"/>
      <c r="S85" s="44"/>
      <c r="T85" s="44"/>
      <c r="U85" s="44"/>
      <c r="V85" s="44"/>
      <c r="W85" s="44"/>
      <c r="X85" s="45"/>
      <c r="Y85" s="43"/>
      <c r="Z85" s="44"/>
      <c r="AA85" s="44"/>
      <c r="AB85" s="44"/>
      <c r="AC85" s="44"/>
      <c r="AD85" s="44"/>
      <c r="AE85" s="44"/>
      <c r="AF85" s="45"/>
      <c r="AH85" s="50"/>
    </row>
    <row r="86" spans="2:34" ht="30" customHeight="1" x14ac:dyDescent="0.15">
      <c r="B86" s="94">
        <v>81</v>
      </c>
      <c r="C86" s="88"/>
      <c r="D86" s="101"/>
      <c r="E86" s="40"/>
      <c r="F86" s="43"/>
      <c r="G86" s="44"/>
      <c r="H86" s="44"/>
      <c r="I86" s="45"/>
      <c r="J86" s="48"/>
      <c r="K86" s="44"/>
      <c r="L86" s="44"/>
      <c r="M86" s="44"/>
      <c r="N86" s="44"/>
      <c r="O86" s="44"/>
      <c r="P86" s="45"/>
      <c r="Q86" s="43"/>
      <c r="R86" s="44"/>
      <c r="S86" s="44"/>
      <c r="T86" s="44"/>
      <c r="U86" s="44"/>
      <c r="V86" s="44"/>
      <c r="W86" s="44"/>
      <c r="X86" s="45"/>
      <c r="Y86" s="43"/>
      <c r="Z86" s="44"/>
      <c r="AA86" s="44"/>
      <c r="AB86" s="44"/>
      <c r="AC86" s="44"/>
      <c r="AD86" s="44"/>
      <c r="AE86" s="44"/>
      <c r="AF86" s="45"/>
      <c r="AH86" s="50"/>
    </row>
    <row r="87" spans="2:34" ht="30" customHeight="1" x14ac:dyDescent="0.15">
      <c r="B87" s="94">
        <v>82</v>
      </c>
      <c r="C87" s="88"/>
      <c r="D87" s="101"/>
      <c r="E87" s="40"/>
      <c r="F87" s="43"/>
      <c r="G87" s="44"/>
      <c r="H87" s="44"/>
      <c r="I87" s="45"/>
      <c r="J87" s="48"/>
      <c r="K87" s="44"/>
      <c r="L87" s="44"/>
      <c r="M87" s="44"/>
      <c r="N87" s="44"/>
      <c r="O87" s="44"/>
      <c r="P87" s="45"/>
      <c r="Q87" s="43"/>
      <c r="R87" s="44"/>
      <c r="S87" s="44"/>
      <c r="T87" s="44"/>
      <c r="U87" s="44"/>
      <c r="V87" s="44"/>
      <c r="W87" s="44"/>
      <c r="X87" s="45"/>
      <c r="Y87" s="43"/>
      <c r="Z87" s="44"/>
      <c r="AA87" s="44"/>
      <c r="AB87" s="44"/>
      <c r="AC87" s="44"/>
      <c r="AD87" s="44"/>
      <c r="AE87" s="44"/>
      <c r="AF87" s="45"/>
      <c r="AH87" s="50"/>
    </row>
    <row r="88" spans="2:34" ht="30" customHeight="1" x14ac:dyDescent="0.15">
      <c r="B88" s="94">
        <v>83</v>
      </c>
      <c r="C88" s="88"/>
      <c r="D88" s="101"/>
      <c r="E88" s="40"/>
      <c r="F88" s="43"/>
      <c r="G88" s="44"/>
      <c r="H88" s="44"/>
      <c r="I88" s="45"/>
      <c r="J88" s="48"/>
      <c r="K88" s="44"/>
      <c r="L88" s="44"/>
      <c r="M88" s="44"/>
      <c r="N88" s="44"/>
      <c r="O88" s="44"/>
      <c r="P88" s="45"/>
      <c r="Q88" s="43"/>
      <c r="R88" s="44"/>
      <c r="S88" s="44"/>
      <c r="T88" s="44"/>
      <c r="U88" s="44"/>
      <c r="V88" s="44"/>
      <c r="W88" s="44"/>
      <c r="X88" s="45"/>
      <c r="Y88" s="43"/>
      <c r="Z88" s="44"/>
      <c r="AA88" s="44"/>
      <c r="AB88" s="44"/>
      <c r="AC88" s="44"/>
      <c r="AD88" s="44"/>
      <c r="AE88" s="44"/>
      <c r="AF88" s="45"/>
      <c r="AH88" s="50"/>
    </row>
    <row r="89" spans="2:34" ht="30" customHeight="1" x14ac:dyDescent="0.15">
      <c r="B89" s="94">
        <v>84</v>
      </c>
      <c r="C89" s="88"/>
      <c r="D89" s="101"/>
      <c r="E89" s="40"/>
      <c r="F89" s="43"/>
      <c r="G89" s="44"/>
      <c r="H89" s="44"/>
      <c r="I89" s="45"/>
      <c r="J89" s="48"/>
      <c r="K89" s="44"/>
      <c r="L89" s="44"/>
      <c r="M89" s="44"/>
      <c r="N89" s="44"/>
      <c r="O89" s="44"/>
      <c r="P89" s="45"/>
      <c r="Q89" s="43"/>
      <c r="R89" s="44"/>
      <c r="S89" s="44"/>
      <c r="T89" s="44"/>
      <c r="U89" s="44"/>
      <c r="V89" s="44"/>
      <c r="W89" s="44"/>
      <c r="X89" s="45"/>
      <c r="Y89" s="43"/>
      <c r="Z89" s="44"/>
      <c r="AA89" s="44"/>
      <c r="AB89" s="44"/>
      <c r="AC89" s="44"/>
      <c r="AD89" s="44"/>
      <c r="AE89" s="44"/>
      <c r="AF89" s="45"/>
      <c r="AH89" s="50"/>
    </row>
    <row r="90" spans="2:34" ht="30" customHeight="1" x14ac:dyDescent="0.15">
      <c r="B90" s="94">
        <v>85</v>
      </c>
      <c r="C90" s="88"/>
      <c r="D90" s="101"/>
      <c r="E90" s="40"/>
      <c r="F90" s="43"/>
      <c r="G90" s="44"/>
      <c r="H90" s="44"/>
      <c r="I90" s="45"/>
      <c r="J90" s="48"/>
      <c r="K90" s="44"/>
      <c r="L90" s="44"/>
      <c r="M90" s="44"/>
      <c r="N90" s="44"/>
      <c r="O90" s="44"/>
      <c r="P90" s="45"/>
      <c r="Q90" s="43"/>
      <c r="R90" s="44"/>
      <c r="S90" s="44"/>
      <c r="T90" s="44"/>
      <c r="U90" s="44"/>
      <c r="V90" s="44"/>
      <c r="W90" s="44"/>
      <c r="X90" s="45"/>
      <c r="Y90" s="43"/>
      <c r="Z90" s="44"/>
      <c r="AA90" s="44"/>
      <c r="AB90" s="44"/>
      <c r="AC90" s="44"/>
      <c r="AD90" s="44"/>
      <c r="AE90" s="44"/>
      <c r="AF90" s="45"/>
      <c r="AH90" s="50"/>
    </row>
    <row r="91" spans="2:34" ht="30" customHeight="1" x14ac:dyDescent="0.15">
      <c r="B91" s="94">
        <v>86</v>
      </c>
      <c r="C91" s="88"/>
      <c r="D91" s="101"/>
      <c r="E91" s="40"/>
      <c r="F91" s="43"/>
      <c r="G91" s="44"/>
      <c r="H91" s="44"/>
      <c r="I91" s="45"/>
      <c r="J91" s="48"/>
      <c r="K91" s="44"/>
      <c r="L91" s="44"/>
      <c r="M91" s="44"/>
      <c r="N91" s="44"/>
      <c r="O91" s="44"/>
      <c r="P91" s="45"/>
      <c r="Q91" s="43"/>
      <c r="R91" s="44"/>
      <c r="S91" s="44"/>
      <c r="T91" s="44"/>
      <c r="U91" s="44"/>
      <c r="V91" s="44"/>
      <c r="W91" s="44"/>
      <c r="X91" s="45"/>
      <c r="Y91" s="43"/>
      <c r="Z91" s="44"/>
      <c r="AA91" s="44"/>
      <c r="AB91" s="44"/>
      <c r="AC91" s="44"/>
      <c r="AD91" s="44"/>
      <c r="AE91" s="44"/>
      <c r="AF91" s="45"/>
      <c r="AH91" s="50"/>
    </row>
    <row r="92" spans="2:34" ht="30" customHeight="1" x14ac:dyDescent="0.15">
      <c r="B92" s="94">
        <v>87</v>
      </c>
      <c r="C92" s="88"/>
      <c r="D92" s="101"/>
      <c r="E92" s="40"/>
      <c r="F92" s="43"/>
      <c r="G92" s="44"/>
      <c r="H92" s="44"/>
      <c r="I92" s="45"/>
      <c r="J92" s="48"/>
      <c r="K92" s="44"/>
      <c r="L92" s="44"/>
      <c r="M92" s="44"/>
      <c r="N92" s="44"/>
      <c r="O92" s="44"/>
      <c r="P92" s="45"/>
      <c r="Q92" s="43"/>
      <c r="R92" s="44"/>
      <c r="S92" s="44"/>
      <c r="T92" s="44"/>
      <c r="U92" s="44"/>
      <c r="V92" s="44"/>
      <c r="W92" s="44"/>
      <c r="X92" s="45"/>
      <c r="Y92" s="43"/>
      <c r="Z92" s="44"/>
      <c r="AA92" s="44"/>
      <c r="AB92" s="44"/>
      <c r="AC92" s="44"/>
      <c r="AD92" s="44"/>
      <c r="AE92" s="44"/>
      <c r="AF92" s="45"/>
      <c r="AH92" s="50"/>
    </row>
    <row r="93" spans="2:34" ht="30" customHeight="1" x14ac:dyDescent="0.15">
      <c r="B93" s="94">
        <v>88</v>
      </c>
      <c r="C93" s="88"/>
      <c r="D93" s="101"/>
      <c r="E93" s="40"/>
      <c r="F93" s="43"/>
      <c r="G93" s="44"/>
      <c r="H93" s="44"/>
      <c r="I93" s="45"/>
      <c r="J93" s="48"/>
      <c r="K93" s="44"/>
      <c r="L93" s="44"/>
      <c r="M93" s="44"/>
      <c r="N93" s="44"/>
      <c r="O93" s="44"/>
      <c r="P93" s="45"/>
      <c r="Q93" s="43"/>
      <c r="R93" s="44"/>
      <c r="S93" s="44"/>
      <c r="T93" s="44"/>
      <c r="U93" s="44"/>
      <c r="V93" s="44"/>
      <c r="W93" s="44"/>
      <c r="X93" s="45"/>
      <c r="Y93" s="43"/>
      <c r="Z93" s="44"/>
      <c r="AA93" s="44"/>
      <c r="AB93" s="44"/>
      <c r="AC93" s="44"/>
      <c r="AD93" s="44"/>
      <c r="AE93" s="44"/>
      <c r="AF93" s="45"/>
      <c r="AH93" s="50"/>
    </row>
    <row r="94" spans="2:34" ht="30" customHeight="1" x14ac:dyDescent="0.15">
      <c r="B94" s="94">
        <v>89</v>
      </c>
      <c r="C94" s="88"/>
      <c r="D94" s="101"/>
      <c r="E94" s="40"/>
      <c r="F94" s="43"/>
      <c r="G94" s="44"/>
      <c r="H94" s="44"/>
      <c r="I94" s="45"/>
      <c r="J94" s="48"/>
      <c r="K94" s="44"/>
      <c r="L94" s="44"/>
      <c r="M94" s="44"/>
      <c r="N94" s="44"/>
      <c r="O94" s="44"/>
      <c r="P94" s="45"/>
      <c r="Q94" s="43"/>
      <c r="R94" s="44"/>
      <c r="S94" s="44"/>
      <c r="T94" s="44"/>
      <c r="U94" s="44"/>
      <c r="V94" s="44"/>
      <c r="W94" s="44"/>
      <c r="X94" s="45"/>
      <c r="Y94" s="43"/>
      <c r="Z94" s="44"/>
      <c r="AA94" s="44"/>
      <c r="AB94" s="44"/>
      <c r="AC94" s="44"/>
      <c r="AD94" s="44"/>
      <c r="AE94" s="44"/>
      <c r="AF94" s="45"/>
      <c r="AH94" s="50"/>
    </row>
    <row r="95" spans="2:34" ht="30" customHeight="1" x14ac:dyDescent="0.15">
      <c r="B95" s="94">
        <v>90</v>
      </c>
      <c r="C95" s="88"/>
      <c r="D95" s="101"/>
      <c r="E95" s="40"/>
      <c r="F95" s="43"/>
      <c r="G95" s="44"/>
      <c r="H95" s="44"/>
      <c r="I95" s="45"/>
      <c r="J95" s="48"/>
      <c r="K95" s="44"/>
      <c r="L95" s="44"/>
      <c r="M95" s="44"/>
      <c r="N95" s="44"/>
      <c r="O95" s="44"/>
      <c r="P95" s="45"/>
      <c r="Q95" s="43"/>
      <c r="R95" s="44"/>
      <c r="S95" s="44"/>
      <c r="T95" s="44"/>
      <c r="U95" s="44"/>
      <c r="V95" s="44"/>
      <c r="W95" s="44"/>
      <c r="X95" s="45"/>
      <c r="Y95" s="43"/>
      <c r="Z95" s="44"/>
      <c r="AA95" s="44"/>
      <c r="AB95" s="44"/>
      <c r="AC95" s="44"/>
      <c r="AD95" s="44"/>
      <c r="AE95" s="44"/>
      <c r="AF95" s="45"/>
      <c r="AH95" s="50"/>
    </row>
    <row r="96" spans="2:34" ht="30" customHeight="1" x14ac:dyDescent="0.15">
      <c r="B96" s="94">
        <v>91</v>
      </c>
      <c r="C96" s="88"/>
      <c r="D96" s="101"/>
      <c r="E96" s="40"/>
      <c r="F96" s="43"/>
      <c r="G96" s="44"/>
      <c r="H96" s="44"/>
      <c r="I96" s="45"/>
      <c r="J96" s="48"/>
      <c r="K96" s="44"/>
      <c r="L96" s="44"/>
      <c r="M96" s="44"/>
      <c r="N96" s="44"/>
      <c r="O96" s="44"/>
      <c r="P96" s="45"/>
      <c r="Q96" s="43"/>
      <c r="R96" s="44"/>
      <c r="S96" s="44"/>
      <c r="T96" s="44"/>
      <c r="U96" s="44"/>
      <c r="V96" s="44"/>
      <c r="W96" s="44"/>
      <c r="X96" s="45"/>
      <c r="Y96" s="43"/>
      <c r="Z96" s="44"/>
      <c r="AA96" s="44"/>
      <c r="AB96" s="44"/>
      <c r="AC96" s="44"/>
      <c r="AD96" s="44"/>
      <c r="AE96" s="44"/>
      <c r="AF96" s="45"/>
      <c r="AH96" s="50"/>
    </row>
    <row r="97" spans="2:37" ht="30" customHeight="1" x14ac:dyDescent="0.15">
      <c r="B97" s="94">
        <v>92</v>
      </c>
      <c r="C97" s="88"/>
      <c r="D97" s="101"/>
      <c r="E97" s="40"/>
      <c r="F97" s="43"/>
      <c r="G97" s="44"/>
      <c r="H97" s="44"/>
      <c r="I97" s="45"/>
      <c r="J97" s="48"/>
      <c r="K97" s="44"/>
      <c r="L97" s="44"/>
      <c r="M97" s="44"/>
      <c r="N97" s="44"/>
      <c r="O97" s="44"/>
      <c r="P97" s="45"/>
      <c r="Q97" s="43"/>
      <c r="R97" s="44"/>
      <c r="S97" s="44"/>
      <c r="T97" s="44"/>
      <c r="U97" s="44"/>
      <c r="V97" s="44"/>
      <c r="W97" s="44"/>
      <c r="X97" s="45"/>
      <c r="Y97" s="43"/>
      <c r="Z97" s="44"/>
      <c r="AA97" s="44"/>
      <c r="AB97" s="44"/>
      <c r="AC97" s="44"/>
      <c r="AD97" s="44"/>
      <c r="AE97" s="44"/>
      <c r="AF97" s="45"/>
      <c r="AH97" s="50"/>
    </row>
    <row r="98" spans="2:37" ht="30" customHeight="1" x14ac:dyDescent="0.15">
      <c r="B98" s="94">
        <v>93</v>
      </c>
      <c r="C98" s="88"/>
      <c r="D98" s="101"/>
      <c r="E98" s="40"/>
      <c r="F98" s="43"/>
      <c r="G98" s="44"/>
      <c r="H98" s="44"/>
      <c r="I98" s="45"/>
      <c r="J98" s="48"/>
      <c r="K98" s="44"/>
      <c r="L98" s="44"/>
      <c r="M98" s="44"/>
      <c r="N98" s="44"/>
      <c r="O98" s="44"/>
      <c r="P98" s="45"/>
      <c r="Q98" s="43"/>
      <c r="R98" s="44"/>
      <c r="S98" s="44"/>
      <c r="T98" s="44"/>
      <c r="U98" s="44"/>
      <c r="V98" s="44"/>
      <c r="W98" s="44"/>
      <c r="X98" s="45"/>
      <c r="Y98" s="43"/>
      <c r="Z98" s="44"/>
      <c r="AA98" s="44"/>
      <c r="AB98" s="44"/>
      <c r="AC98" s="44"/>
      <c r="AD98" s="44"/>
      <c r="AE98" s="44"/>
      <c r="AF98" s="45"/>
      <c r="AH98" s="50"/>
    </row>
    <row r="99" spans="2:37" ht="30" customHeight="1" x14ac:dyDescent="0.15">
      <c r="B99" s="94">
        <v>94</v>
      </c>
      <c r="C99" s="88"/>
      <c r="D99" s="101"/>
      <c r="E99" s="40"/>
      <c r="F99" s="43"/>
      <c r="G99" s="44"/>
      <c r="H99" s="44"/>
      <c r="I99" s="45"/>
      <c r="J99" s="48"/>
      <c r="K99" s="44"/>
      <c r="L99" s="44"/>
      <c r="M99" s="44"/>
      <c r="N99" s="44"/>
      <c r="O99" s="44"/>
      <c r="P99" s="45"/>
      <c r="Q99" s="43"/>
      <c r="R99" s="44"/>
      <c r="S99" s="44"/>
      <c r="T99" s="44"/>
      <c r="U99" s="44"/>
      <c r="V99" s="44"/>
      <c r="W99" s="44"/>
      <c r="X99" s="45"/>
      <c r="Y99" s="43"/>
      <c r="Z99" s="44"/>
      <c r="AA99" s="44"/>
      <c r="AB99" s="44"/>
      <c r="AC99" s="44"/>
      <c r="AD99" s="44"/>
      <c r="AE99" s="44"/>
      <c r="AF99" s="45"/>
      <c r="AH99" s="50"/>
    </row>
    <row r="100" spans="2:37" ht="30" customHeight="1" x14ac:dyDescent="0.15">
      <c r="B100" s="94">
        <v>95</v>
      </c>
      <c r="C100" s="88"/>
      <c r="D100" s="101"/>
      <c r="E100" s="40"/>
      <c r="F100" s="43"/>
      <c r="G100" s="44"/>
      <c r="H100" s="44"/>
      <c r="I100" s="45"/>
      <c r="J100" s="48"/>
      <c r="K100" s="44"/>
      <c r="L100" s="44"/>
      <c r="M100" s="44"/>
      <c r="N100" s="44"/>
      <c r="O100" s="44"/>
      <c r="P100" s="45"/>
      <c r="Q100" s="43"/>
      <c r="R100" s="44"/>
      <c r="S100" s="44"/>
      <c r="T100" s="44"/>
      <c r="U100" s="44"/>
      <c r="V100" s="44"/>
      <c r="W100" s="44"/>
      <c r="X100" s="45"/>
      <c r="Y100" s="43"/>
      <c r="Z100" s="44"/>
      <c r="AA100" s="44"/>
      <c r="AB100" s="44"/>
      <c r="AC100" s="44"/>
      <c r="AD100" s="44"/>
      <c r="AE100" s="44"/>
      <c r="AF100" s="45"/>
      <c r="AH100" s="50"/>
    </row>
    <row r="101" spans="2:37" ht="30" customHeight="1" x14ac:dyDescent="0.15">
      <c r="B101" s="94">
        <v>96</v>
      </c>
      <c r="C101" s="88"/>
      <c r="D101" s="101"/>
      <c r="E101" s="40"/>
      <c r="F101" s="43"/>
      <c r="G101" s="44"/>
      <c r="H101" s="44"/>
      <c r="I101" s="45"/>
      <c r="J101" s="48"/>
      <c r="K101" s="44"/>
      <c r="L101" s="44"/>
      <c r="M101" s="44"/>
      <c r="N101" s="44"/>
      <c r="O101" s="44"/>
      <c r="P101" s="45"/>
      <c r="Q101" s="43"/>
      <c r="R101" s="44"/>
      <c r="S101" s="44"/>
      <c r="T101" s="44"/>
      <c r="U101" s="44"/>
      <c r="V101" s="44"/>
      <c r="W101" s="44"/>
      <c r="X101" s="45"/>
      <c r="Y101" s="43"/>
      <c r="Z101" s="44"/>
      <c r="AA101" s="44"/>
      <c r="AB101" s="44"/>
      <c r="AC101" s="44"/>
      <c r="AD101" s="44"/>
      <c r="AE101" s="44"/>
      <c r="AF101" s="45"/>
      <c r="AH101" s="50"/>
    </row>
    <row r="102" spans="2:37" ht="30" customHeight="1" x14ac:dyDescent="0.15">
      <c r="B102" s="94">
        <v>97</v>
      </c>
      <c r="C102" s="88"/>
      <c r="D102" s="101"/>
      <c r="E102" s="40"/>
      <c r="F102" s="43"/>
      <c r="G102" s="44"/>
      <c r="H102" s="44"/>
      <c r="I102" s="45"/>
      <c r="J102" s="48"/>
      <c r="K102" s="44"/>
      <c r="L102" s="44"/>
      <c r="M102" s="44"/>
      <c r="N102" s="44"/>
      <c r="O102" s="44"/>
      <c r="P102" s="45"/>
      <c r="Q102" s="43"/>
      <c r="R102" s="44"/>
      <c r="S102" s="44"/>
      <c r="T102" s="44"/>
      <c r="U102" s="44"/>
      <c r="V102" s="44"/>
      <c r="W102" s="44"/>
      <c r="X102" s="45"/>
      <c r="Y102" s="43"/>
      <c r="Z102" s="44"/>
      <c r="AA102" s="44"/>
      <c r="AB102" s="44"/>
      <c r="AC102" s="44"/>
      <c r="AD102" s="44"/>
      <c r="AE102" s="44"/>
      <c r="AF102" s="45"/>
      <c r="AH102" s="50"/>
    </row>
    <row r="103" spans="2:37" ht="30" customHeight="1" x14ac:dyDescent="0.15">
      <c r="B103" s="94">
        <v>98</v>
      </c>
      <c r="C103" s="88"/>
      <c r="D103" s="101"/>
      <c r="E103" s="40"/>
      <c r="F103" s="43"/>
      <c r="G103" s="44"/>
      <c r="H103" s="44"/>
      <c r="I103" s="45"/>
      <c r="J103" s="48"/>
      <c r="K103" s="44"/>
      <c r="L103" s="44"/>
      <c r="M103" s="44"/>
      <c r="N103" s="44"/>
      <c r="O103" s="44"/>
      <c r="P103" s="45"/>
      <c r="Q103" s="43"/>
      <c r="R103" s="44"/>
      <c r="S103" s="44"/>
      <c r="T103" s="44"/>
      <c r="U103" s="44"/>
      <c r="V103" s="44"/>
      <c r="W103" s="44"/>
      <c r="X103" s="45"/>
      <c r="Y103" s="43"/>
      <c r="Z103" s="44"/>
      <c r="AA103" s="44"/>
      <c r="AB103" s="44"/>
      <c r="AC103" s="44"/>
      <c r="AD103" s="44"/>
      <c r="AE103" s="44"/>
      <c r="AF103" s="45"/>
      <c r="AH103" s="50"/>
    </row>
    <row r="104" spans="2:37" ht="30" customHeight="1" x14ac:dyDescent="0.15">
      <c r="B104" s="94">
        <v>99</v>
      </c>
      <c r="C104" s="88"/>
      <c r="D104" s="101"/>
      <c r="E104" s="40"/>
      <c r="F104" s="43"/>
      <c r="G104" s="44"/>
      <c r="H104" s="44"/>
      <c r="I104" s="45"/>
      <c r="J104" s="48"/>
      <c r="K104" s="44"/>
      <c r="L104" s="44"/>
      <c r="M104" s="44"/>
      <c r="N104" s="44"/>
      <c r="O104" s="44"/>
      <c r="P104" s="45"/>
      <c r="Q104" s="43"/>
      <c r="R104" s="44"/>
      <c r="S104" s="44"/>
      <c r="T104" s="44"/>
      <c r="U104" s="44"/>
      <c r="V104" s="44"/>
      <c r="W104" s="44"/>
      <c r="X104" s="45"/>
      <c r="Y104" s="43"/>
      <c r="Z104" s="44"/>
      <c r="AA104" s="44"/>
      <c r="AB104" s="44"/>
      <c r="AC104" s="44"/>
      <c r="AD104" s="44"/>
      <c r="AE104" s="44"/>
      <c r="AF104" s="45"/>
      <c r="AH104" s="50"/>
    </row>
    <row r="105" spans="2:37" ht="30" customHeight="1" thickBot="1" x14ac:dyDescent="0.2">
      <c r="B105" s="95">
        <v>100</v>
      </c>
      <c r="C105" s="89"/>
      <c r="D105" s="102"/>
      <c r="E105" s="41"/>
      <c r="F105" s="33"/>
      <c r="G105" s="34"/>
      <c r="H105" s="34"/>
      <c r="I105" s="35"/>
      <c r="J105" s="49"/>
      <c r="K105" s="34"/>
      <c r="L105" s="34"/>
      <c r="M105" s="34"/>
      <c r="N105" s="34"/>
      <c r="O105" s="34"/>
      <c r="P105" s="35"/>
      <c r="Q105" s="33"/>
      <c r="R105" s="34"/>
      <c r="S105" s="34"/>
      <c r="T105" s="34"/>
      <c r="U105" s="34"/>
      <c r="V105" s="34"/>
      <c r="W105" s="34"/>
      <c r="X105" s="35"/>
      <c r="Y105" s="33"/>
      <c r="Z105" s="34"/>
      <c r="AA105" s="34"/>
      <c r="AB105" s="34"/>
      <c r="AC105" s="34"/>
      <c r="AD105" s="34"/>
      <c r="AE105" s="34"/>
      <c r="AF105" s="35"/>
      <c r="AH105" s="50">
        <f t="shared" si="6"/>
        <v>0</v>
      </c>
      <c r="AI105" s="13">
        <f t="shared" si="7"/>
        <v>0</v>
      </c>
      <c r="AJ105" s="13">
        <f t="shared" si="8"/>
        <v>0</v>
      </c>
      <c r="AK105" s="13">
        <f t="shared" si="9"/>
        <v>0</v>
      </c>
    </row>
    <row r="106" spans="2:37" ht="16.5" thickBot="1" x14ac:dyDescent="0.2"/>
    <row r="107" spans="2:37" ht="16.5" thickBot="1" x14ac:dyDescent="0.2">
      <c r="I107" s="13">
        <f>SUM(I40:I46)+SUM(I47:I105)</f>
        <v>97.483769999999993</v>
      </c>
      <c r="N107" s="13" t="s">
        <v>90</v>
      </c>
      <c r="P107" s="36">
        <f>SUM(P6:P105)</f>
        <v>550.63467362477377</v>
      </c>
      <c r="V107" s="13" t="s">
        <v>90</v>
      </c>
      <c r="X107" s="36">
        <f>SUM(X6:X105)</f>
        <v>12.384003193810267</v>
      </c>
      <c r="AD107" s="13" t="s">
        <v>90</v>
      </c>
      <c r="AF107" s="36">
        <f>SUM(AF6:AF105)</f>
        <v>10.870353559838119</v>
      </c>
    </row>
    <row r="108" spans="2:37" x14ac:dyDescent="0.15">
      <c r="I108" s="13">
        <f>SUM(I6:I105)</f>
        <v>220.39657</v>
      </c>
    </row>
  </sheetData>
  <mergeCells count="9">
    <mergeCell ref="C4:C5"/>
    <mergeCell ref="D4:D5"/>
    <mergeCell ref="Q3:X3"/>
    <mergeCell ref="Y3:AF3"/>
    <mergeCell ref="F3:I3"/>
    <mergeCell ref="J3:P3"/>
    <mergeCell ref="B4:B5"/>
    <mergeCell ref="E4:E5"/>
    <mergeCell ref="B3:E3"/>
  </mergeCells>
  <phoneticPr fontId="2"/>
  <dataValidations count="1">
    <dataValidation type="list" allowBlank="1" showInputMessage="1" showErrorMessage="1" sqref="E6:E105">
      <formula1>"壁,間仕切り壁,屋根・天井,床,土間,ドア"</formula1>
    </dataValidation>
  </dataValidations>
  <pageMargins left="0.23622047244094491" right="0.23622047244094491" top="0.74803149606299213" bottom="0.74803149606299213" header="0.31496062992125984" footer="0.31496062992125984"/>
  <pageSetup paperSize="9" scale="46" fitToHeight="1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E37"/>
  <sheetViews>
    <sheetView topLeftCell="H1" zoomScale="120" zoomScaleNormal="120" workbookViewId="0">
      <selection activeCell="W6" sqref="W6"/>
    </sheetView>
  </sheetViews>
  <sheetFormatPr defaultRowHeight="15.75" x14ac:dyDescent="0.15"/>
  <cols>
    <col min="1" max="1" width="3.375" style="13" customWidth="1"/>
    <col min="2" max="2" width="19.75" style="13" customWidth="1"/>
    <col min="3" max="3" width="21.375" style="13" customWidth="1"/>
    <col min="4" max="4" width="15" style="13" bestFit="1" customWidth="1"/>
    <col min="5" max="5" width="12.625" style="13" bestFit="1" customWidth="1"/>
    <col min="6" max="6" width="3.25" style="13" bestFit="1" customWidth="1"/>
    <col min="7" max="7" width="10.125" style="13" customWidth="1"/>
    <col min="8" max="8" width="3.625" style="13" bestFit="1" customWidth="1"/>
    <col min="9" max="9" width="13.625" style="13" bestFit="1" customWidth="1"/>
    <col min="10" max="10" width="3.625" style="13" bestFit="1" customWidth="1"/>
    <col min="11" max="11" width="12.375" style="13" customWidth="1"/>
    <col min="12" max="12" width="6.25" style="13" customWidth="1"/>
    <col min="13" max="13" width="8.375" style="13" bestFit="1" customWidth="1"/>
    <col min="14" max="14" width="3.5" style="13" bestFit="1" customWidth="1"/>
    <col min="15" max="15" width="9" style="13" bestFit="1" customWidth="1"/>
    <col min="16" max="16" width="3.5" style="13" bestFit="1" customWidth="1"/>
    <col min="17" max="17" width="10" style="13" customWidth="1"/>
    <col min="18" max="18" width="3.5" style="13" bestFit="1" customWidth="1"/>
    <col min="19" max="19" width="11.375" style="13" bestFit="1" customWidth="1"/>
    <col min="20" max="20" width="3.875" style="13" bestFit="1" customWidth="1"/>
    <col min="21" max="21" width="14.625" style="13" bestFit="1" customWidth="1"/>
    <col min="22" max="22" width="5.625" style="13" bestFit="1" customWidth="1"/>
    <col min="23" max="23" width="8.375" style="13" bestFit="1" customWidth="1"/>
    <col min="24" max="24" width="3.5" style="13" bestFit="1" customWidth="1"/>
    <col min="25" max="25" width="9" style="13" bestFit="1" customWidth="1"/>
    <col min="26" max="26" width="3.5" style="13" bestFit="1" customWidth="1"/>
    <col min="27" max="27" width="9.375" style="13" bestFit="1" customWidth="1"/>
    <col min="28" max="28" width="3.5" style="13" bestFit="1" customWidth="1"/>
    <col min="29" max="29" width="11.375" style="13" bestFit="1" customWidth="1"/>
    <col min="30" max="30" width="3.875" style="13" bestFit="1" customWidth="1"/>
    <col min="31" max="31" width="14.625" style="13" bestFit="1" customWidth="1"/>
    <col min="32" max="32" width="3.375" style="13" customWidth="1"/>
    <col min="33" max="16384" width="9" style="13"/>
  </cols>
  <sheetData>
    <row r="2" spans="2:31" ht="21.75" thickBot="1" x14ac:dyDescent="0.2">
      <c r="B2" s="39" t="s">
        <v>7</v>
      </c>
    </row>
    <row r="3" spans="2:31" ht="30" customHeight="1" thickBot="1" x14ac:dyDescent="0.2">
      <c r="B3" s="71" t="s">
        <v>29</v>
      </c>
      <c r="C3" s="73"/>
      <c r="D3" s="12" t="s">
        <v>56</v>
      </c>
      <c r="E3" s="74" t="s">
        <v>57</v>
      </c>
      <c r="F3" s="72"/>
      <c r="G3" s="72"/>
      <c r="H3" s="72"/>
      <c r="I3" s="72"/>
      <c r="J3" s="72"/>
      <c r="K3" s="73"/>
      <c r="L3" s="71" t="s">
        <v>67</v>
      </c>
      <c r="M3" s="72"/>
      <c r="N3" s="72"/>
      <c r="O3" s="72"/>
      <c r="P3" s="72"/>
      <c r="Q3" s="72"/>
      <c r="R3" s="72"/>
      <c r="S3" s="72"/>
      <c r="T3" s="72"/>
      <c r="U3" s="73"/>
      <c r="V3" s="71" t="s">
        <v>76</v>
      </c>
      <c r="W3" s="72"/>
      <c r="X3" s="72"/>
      <c r="Y3" s="72"/>
      <c r="Z3" s="72"/>
      <c r="AA3" s="72"/>
      <c r="AB3" s="72"/>
      <c r="AC3" s="72"/>
      <c r="AD3" s="72"/>
      <c r="AE3" s="73"/>
    </row>
    <row r="4" spans="2:31" ht="30" customHeight="1" x14ac:dyDescent="0.15">
      <c r="B4" s="75" t="s">
        <v>8</v>
      </c>
      <c r="C4" s="75" t="s">
        <v>9</v>
      </c>
      <c r="D4" s="37" t="s">
        <v>59</v>
      </c>
      <c r="E4" s="4" t="s">
        <v>60</v>
      </c>
      <c r="F4" s="5"/>
      <c r="G4" s="5" t="s">
        <v>61</v>
      </c>
      <c r="H4" s="6"/>
      <c r="I4" s="5" t="s">
        <v>64</v>
      </c>
      <c r="J4" s="6"/>
      <c r="K4" s="7" t="s">
        <v>66</v>
      </c>
      <c r="L4" s="14" t="s">
        <v>3</v>
      </c>
      <c r="M4" s="5" t="s">
        <v>70</v>
      </c>
      <c r="N4" s="5"/>
      <c r="O4" s="5" t="s">
        <v>71</v>
      </c>
      <c r="P4" s="5"/>
      <c r="Q4" s="5" t="s">
        <v>79</v>
      </c>
      <c r="R4" s="6"/>
      <c r="S4" s="5" t="s">
        <v>73</v>
      </c>
      <c r="T4" s="6"/>
      <c r="U4" s="7" t="s">
        <v>80</v>
      </c>
      <c r="V4" s="14" t="s">
        <v>3</v>
      </c>
      <c r="W4" s="5" t="s">
        <v>77</v>
      </c>
      <c r="X4" s="5"/>
      <c r="Y4" s="5" t="s">
        <v>78</v>
      </c>
      <c r="Z4" s="5"/>
      <c r="AA4" s="5" t="s">
        <v>162</v>
      </c>
      <c r="AB4" s="6"/>
      <c r="AC4" s="5" t="s">
        <v>81</v>
      </c>
      <c r="AD4" s="6"/>
      <c r="AE4" s="7" t="s">
        <v>82</v>
      </c>
    </row>
    <row r="5" spans="2:31" ht="16.5" thickBot="1" x14ac:dyDescent="0.2">
      <c r="B5" s="76"/>
      <c r="C5" s="76"/>
      <c r="D5" s="38" t="s">
        <v>63</v>
      </c>
      <c r="E5" s="8" t="s">
        <v>58</v>
      </c>
      <c r="F5" s="9"/>
      <c r="G5" s="9" t="s">
        <v>62</v>
      </c>
      <c r="H5" s="10"/>
      <c r="I5" s="9" t="s">
        <v>63</v>
      </c>
      <c r="J5" s="10"/>
      <c r="K5" s="11" t="s">
        <v>65</v>
      </c>
      <c r="L5" s="15" t="s">
        <v>68</v>
      </c>
      <c r="M5" s="9" t="s">
        <v>69</v>
      </c>
      <c r="N5" s="9"/>
      <c r="O5" s="9" t="s">
        <v>58</v>
      </c>
      <c r="P5" s="9"/>
      <c r="Q5" s="9" t="s">
        <v>72</v>
      </c>
      <c r="R5" s="10"/>
      <c r="S5" s="9" t="s">
        <v>74</v>
      </c>
      <c r="T5" s="10"/>
      <c r="U5" s="11" t="s">
        <v>75</v>
      </c>
      <c r="V5" s="15" t="s">
        <v>68</v>
      </c>
      <c r="W5" s="9" t="s">
        <v>69</v>
      </c>
      <c r="X5" s="9"/>
      <c r="Y5" s="9" t="s">
        <v>58</v>
      </c>
      <c r="Z5" s="9"/>
      <c r="AA5" s="9" t="s">
        <v>72</v>
      </c>
      <c r="AB5" s="10"/>
      <c r="AC5" s="9" t="s">
        <v>74</v>
      </c>
      <c r="AD5" s="10"/>
      <c r="AE5" s="11" t="s">
        <v>83</v>
      </c>
    </row>
    <row r="6" spans="2:31" ht="30" customHeight="1" x14ac:dyDescent="0.15">
      <c r="B6" s="16" t="s">
        <v>149</v>
      </c>
      <c r="C6" s="16" t="s">
        <v>150</v>
      </c>
      <c r="D6" s="17">
        <f>2.85*1.7</f>
        <v>4.8449999999999998</v>
      </c>
      <c r="E6" s="18">
        <v>6.51</v>
      </c>
      <c r="F6" s="19" t="s">
        <v>1</v>
      </c>
      <c r="G6" s="19">
        <f>D6</f>
        <v>4.8449999999999998</v>
      </c>
      <c r="H6" s="19" t="s">
        <v>1</v>
      </c>
      <c r="I6" s="19">
        <v>1</v>
      </c>
      <c r="J6" s="19" t="s">
        <v>2</v>
      </c>
      <c r="K6" s="20">
        <f>E6*G6*I6</f>
        <v>31.540949999999999</v>
      </c>
      <c r="L6" s="18" t="s">
        <v>221</v>
      </c>
      <c r="M6" s="19">
        <v>0.88</v>
      </c>
      <c r="N6" s="19" t="s">
        <v>1</v>
      </c>
      <c r="O6" s="19">
        <f>日除け効果係数!G3</f>
        <v>0.38386792452830193</v>
      </c>
      <c r="P6" s="19" t="s">
        <v>1</v>
      </c>
      <c r="Q6" s="19">
        <f>G6</f>
        <v>4.8449999999999998</v>
      </c>
      <c r="R6" s="19" t="s">
        <v>1</v>
      </c>
      <c r="S6" s="19">
        <v>0.52300000000000002</v>
      </c>
      <c r="T6" s="19" t="s">
        <v>2</v>
      </c>
      <c r="U6" s="20">
        <f>M6*O6*Q6*S6</f>
        <v>0.85597280501886797</v>
      </c>
      <c r="V6" s="18" t="s">
        <v>221</v>
      </c>
      <c r="W6" s="19">
        <v>0.88</v>
      </c>
      <c r="X6" s="19" t="s">
        <v>1</v>
      </c>
      <c r="Y6" s="19">
        <f>日除け効果係数!H3</f>
        <v>0.61418867924528298</v>
      </c>
      <c r="Z6" s="19" t="s">
        <v>1</v>
      </c>
      <c r="AA6" s="19">
        <f>G6</f>
        <v>4.8449999999999998</v>
      </c>
      <c r="AB6" s="19" t="s">
        <v>1</v>
      </c>
      <c r="AC6" s="19">
        <v>0.504</v>
      </c>
      <c r="AD6" s="19" t="s">
        <v>2</v>
      </c>
      <c r="AE6" s="20">
        <f>W6*Y6*AA6*AC6</f>
        <v>1.319802045826415</v>
      </c>
    </row>
    <row r="7" spans="2:31" ht="30" customHeight="1" x14ac:dyDescent="0.15">
      <c r="B7" s="21" t="s">
        <v>151</v>
      </c>
      <c r="C7" s="21" t="s">
        <v>150</v>
      </c>
      <c r="D7" s="22">
        <f>1.9*1.7</f>
        <v>3.23</v>
      </c>
      <c r="E7" s="23">
        <v>6.51</v>
      </c>
      <c r="F7" s="24" t="s">
        <v>1</v>
      </c>
      <c r="G7" s="25">
        <f>D7</f>
        <v>3.23</v>
      </c>
      <c r="H7" s="24" t="s">
        <v>1</v>
      </c>
      <c r="I7" s="25">
        <v>1</v>
      </c>
      <c r="J7" s="24" t="s">
        <v>2</v>
      </c>
      <c r="K7" s="26">
        <f>E7*G7*I7</f>
        <v>21.0273</v>
      </c>
      <c r="L7" s="23" t="s">
        <v>222</v>
      </c>
      <c r="M7" s="25">
        <v>0.88</v>
      </c>
      <c r="N7" s="24" t="s">
        <v>1</v>
      </c>
      <c r="O7" s="25">
        <f>日除け効果係数!G4</f>
        <v>0.55729483282674774</v>
      </c>
      <c r="P7" s="24" t="s">
        <v>1</v>
      </c>
      <c r="Q7" s="25">
        <f t="shared" ref="Q7:Q15" si="0">G7</f>
        <v>3.23</v>
      </c>
      <c r="R7" s="24" t="s">
        <v>1</v>
      </c>
      <c r="S7" s="25">
        <v>0.57899999999999996</v>
      </c>
      <c r="T7" s="24" t="s">
        <v>2</v>
      </c>
      <c r="U7" s="26">
        <f t="shared" ref="U7:U15" si="1">M7*O7*Q7*S7</f>
        <v>0.91716774820668689</v>
      </c>
      <c r="V7" s="23" t="s">
        <v>222</v>
      </c>
      <c r="W7" s="25">
        <v>0.88</v>
      </c>
      <c r="X7" s="24" t="s">
        <v>1</v>
      </c>
      <c r="Y7" s="25">
        <f>日除け効果係数!H4</f>
        <v>0.89167173252279641</v>
      </c>
      <c r="Z7" s="24" t="s">
        <v>1</v>
      </c>
      <c r="AA7" s="25">
        <f>G7</f>
        <v>3.23</v>
      </c>
      <c r="AB7" s="24" t="s">
        <v>1</v>
      </c>
      <c r="AC7" s="25">
        <v>0.51200000000000001</v>
      </c>
      <c r="AD7" s="24" t="s">
        <v>2</v>
      </c>
      <c r="AE7" s="26">
        <f t="shared" ref="AE7:AE15" si="2">W7*Y7*AA7*AC7</f>
        <v>1.2976577190516718</v>
      </c>
    </row>
    <row r="8" spans="2:31" ht="30" customHeight="1" x14ac:dyDescent="0.15">
      <c r="B8" s="21" t="s">
        <v>153</v>
      </c>
      <c r="C8" s="21" t="s">
        <v>150</v>
      </c>
      <c r="D8" s="22">
        <f>1.9*0.3</f>
        <v>0.56999999999999995</v>
      </c>
      <c r="E8" s="23">
        <v>6.51</v>
      </c>
      <c r="F8" s="24" t="s">
        <v>1</v>
      </c>
      <c r="G8" s="25">
        <f t="shared" ref="G8:G15" si="3">D8</f>
        <v>0.56999999999999995</v>
      </c>
      <c r="H8" s="24" t="s">
        <v>1</v>
      </c>
      <c r="I8" s="25">
        <v>1</v>
      </c>
      <c r="J8" s="24" t="s">
        <v>2</v>
      </c>
      <c r="K8" s="26">
        <f t="shared" ref="K8:K15" si="4">E8*G8*I8</f>
        <v>3.7106999999999997</v>
      </c>
      <c r="L8" s="23" t="s">
        <v>222</v>
      </c>
      <c r="M8" s="25">
        <v>0.88</v>
      </c>
      <c r="N8" s="24" t="s">
        <v>1</v>
      </c>
      <c r="O8" s="25">
        <f>日除け効果係数!G5</f>
        <v>0.16838905775075985</v>
      </c>
      <c r="P8" s="24" t="s">
        <v>1</v>
      </c>
      <c r="Q8" s="25">
        <f t="shared" si="0"/>
        <v>0.56999999999999995</v>
      </c>
      <c r="R8" s="24" t="s">
        <v>1</v>
      </c>
      <c r="S8" s="25">
        <v>0.57899999999999996</v>
      </c>
      <c r="T8" s="24" t="s">
        <v>2</v>
      </c>
      <c r="U8" s="26">
        <f t="shared" si="1"/>
        <v>4.8904627841945277E-2</v>
      </c>
      <c r="V8" s="23" t="s">
        <v>222</v>
      </c>
      <c r="W8" s="25">
        <v>0.88</v>
      </c>
      <c r="X8" s="24" t="s">
        <v>1</v>
      </c>
      <c r="Y8" s="25">
        <f>日除け効果係数!H5</f>
        <v>0.2694224924012158</v>
      </c>
      <c r="Z8" s="24" t="s">
        <v>1</v>
      </c>
      <c r="AA8" s="25">
        <f t="shared" ref="AA8:AA15" si="5">G8</f>
        <v>0.56999999999999995</v>
      </c>
      <c r="AB8" s="24" t="s">
        <v>1</v>
      </c>
      <c r="AC8" s="25">
        <v>0.51200000000000001</v>
      </c>
      <c r="AD8" s="24" t="s">
        <v>2</v>
      </c>
      <c r="AE8" s="26">
        <f t="shared" si="2"/>
        <v>6.9192868960486306E-2</v>
      </c>
    </row>
    <row r="9" spans="2:31" ht="30" customHeight="1" x14ac:dyDescent="0.15">
      <c r="B9" s="21" t="s">
        <v>146</v>
      </c>
      <c r="C9" s="21" t="s">
        <v>150</v>
      </c>
      <c r="D9" s="22">
        <f>1.365*1.7</f>
        <v>2.3205</v>
      </c>
      <c r="E9" s="23">
        <v>6.51</v>
      </c>
      <c r="F9" s="24" t="s">
        <v>1</v>
      </c>
      <c r="G9" s="25">
        <f t="shared" si="3"/>
        <v>2.3205</v>
      </c>
      <c r="H9" s="24" t="s">
        <v>1</v>
      </c>
      <c r="I9" s="25">
        <v>1</v>
      </c>
      <c r="J9" s="24" t="s">
        <v>2</v>
      </c>
      <c r="K9" s="26">
        <f t="shared" si="4"/>
        <v>15.106455</v>
      </c>
      <c r="L9" s="23" t="s">
        <v>222</v>
      </c>
      <c r="M9" s="25">
        <v>0.88</v>
      </c>
      <c r="N9" s="24" t="s">
        <v>1</v>
      </c>
      <c r="O9" s="25">
        <f>日除け効果係数!G6</f>
        <v>0.72</v>
      </c>
      <c r="P9" s="24" t="s">
        <v>1</v>
      </c>
      <c r="Q9" s="25">
        <f t="shared" si="0"/>
        <v>2.3205</v>
      </c>
      <c r="R9" s="24" t="s">
        <v>1</v>
      </c>
      <c r="S9" s="25">
        <v>0.57899999999999996</v>
      </c>
      <c r="T9" s="24" t="s">
        <v>2</v>
      </c>
      <c r="U9" s="26">
        <f t="shared" si="1"/>
        <v>0.85128563519999989</v>
      </c>
      <c r="V9" s="23" t="s">
        <v>222</v>
      </c>
      <c r="W9" s="25">
        <v>0.88</v>
      </c>
      <c r="X9" s="24" t="s">
        <v>1</v>
      </c>
      <c r="Y9" s="25">
        <f>日除け効果係数!H6</f>
        <v>0.93</v>
      </c>
      <c r="Z9" s="24" t="s">
        <v>1</v>
      </c>
      <c r="AA9" s="25">
        <f t="shared" si="5"/>
        <v>2.3205</v>
      </c>
      <c r="AB9" s="24" t="s">
        <v>1</v>
      </c>
      <c r="AC9" s="25">
        <v>0.51200000000000001</v>
      </c>
      <c r="AD9" s="24" t="s">
        <v>2</v>
      </c>
      <c r="AE9" s="26">
        <f t="shared" si="2"/>
        <v>0.97233776640000014</v>
      </c>
    </row>
    <row r="10" spans="2:31" ht="30" customHeight="1" x14ac:dyDescent="0.15">
      <c r="B10" s="21" t="s">
        <v>145</v>
      </c>
      <c r="C10" s="21" t="s">
        <v>150</v>
      </c>
      <c r="D10" s="22">
        <f>0.95*1.7</f>
        <v>1.615</v>
      </c>
      <c r="E10" s="23">
        <v>6.51</v>
      </c>
      <c r="F10" s="24" t="s">
        <v>1</v>
      </c>
      <c r="G10" s="25">
        <f t="shared" si="3"/>
        <v>1.615</v>
      </c>
      <c r="H10" s="24" t="s">
        <v>1</v>
      </c>
      <c r="I10" s="25">
        <v>1</v>
      </c>
      <c r="J10" s="24" t="s">
        <v>2</v>
      </c>
      <c r="K10" s="26">
        <f t="shared" si="4"/>
        <v>10.51365</v>
      </c>
      <c r="L10" s="23" t="s">
        <v>221</v>
      </c>
      <c r="M10" s="25">
        <v>0.88</v>
      </c>
      <c r="N10" s="24" t="s">
        <v>1</v>
      </c>
      <c r="O10" s="25">
        <f>日除け効果係数!G7</f>
        <v>0.48915094339622645</v>
      </c>
      <c r="P10" s="24" t="s">
        <v>1</v>
      </c>
      <c r="Q10" s="25">
        <f t="shared" si="0"/>
        <v>1.615</v>
      </c>
      <c r="R10" s="24" t="s">
        <v>1</v>
      </c>
      <c r="S10" s="25">
        <v>0.52300000000000002</v>
      </c>
      <c r="T10" s="24" t="s">
        <v>2</v>
      </c>
      <c r="U10" s="26">
        <f t="shared" si="1"/>
        <v>0.363579830754717</v>
      </c>
      <c r="V10" s="23" t="s">
        <v>221</v>
      </c>
      <c r="W10" s="25">
        <v>0.88</v>
      </c>
      <c r="X10" s="24" t="s">
        <v>1</v>
      </c>
      <c r="Y10" s="25">
        <f>日除け効果係数!H7</f>
        <v>0.78264150943396238</v>
      </c>
      <c r="Z10" s="24" t="s">
        <v>1</v>
      </c>
      <c r="AA10" s="25">
        <f t="shared" si="5"/>
        <v>1.615</v>
      </c>
      <c r="AB10" s="24" t="s">
        <v>1</v>
      </c>
      <c r="AC10" s="25">
        <v>0.504</v>
      </c>
      <c r="AD10" s="24" t="s">
        <v>2</v>
      </c>
      <c r="AE10" s="26">
        <f t="shared" si="2"/>
        <v>0.56059421705660384</v>
      </c>
    </row>
    <row r="11" spans="2:31" ht="30" customHeight="1" x14ac:dyDescent="0.15">
      <c r="B11" s="21" t="s">
        <v>113</v>
      </c>
      <c r="C11" s="21" t="s">
        <v>150</v>
      </c>
      <c r="D11" s="22">
        <f>2.85*1.3</f>
        <v>3.7050000000000001</v>
      </c>
      <c r="E11" s="23">
        <v>6.51</v>
      </c>
      <c r="F11" s="24" t="s">
        <v>1</v>
      </c>
      <c r="G11" s="25">
        <f t="shared" si="3"/>
        <v>3.7050000000000001</v>
      </c>
      <c r="H11" s="24" t="s">
        <v>1</v>
      </c>
      <c r="I11" s="25">
        <v>1</v>
      </c>
      <c r="J11" s="24" t="s">
        <v>2</v>
      </c>
      <c r="K11" s="26">
        <f t="shared" si="4"/>
        <v>24.11955</v>
      </c>
      <c r="L11" s="23" t="s">
        <v>221</v>
      </c>
      <c r="M11" s="25">
        <v>0.88</v>
      </c>
      <c r="N11" s="24" t="s">
        <v>1</v>
      </c>
      <c r="O11" s="25">
        <f>日除け効果係数!G8</f>
        <v>0.39166666666666672</v>
      </c>
      <c r="P11" s="24" t="s">
        <v>1</v>
      </c>
      <c r="Q11" s="25">
        <f t="shared" si="0"/>
        <v>3.7050000000000001</v>
      </c>
      <c r="R11" s="24" t="s">
        <v>1</v>
      </c>
      <c r="S11" s="25">
        <v>0.52300000000000002</v>
      </c>
      <c r="T11" s="24" t="s">
        <v>2</v>
      </c>
      <c r="U11" s="26">
        <f t="shared" si="1"/>
        <v>0.66786577000000014</v>
      </c>
      <c r="V11" s="23" t="s">
        <v>221</v>
      </c>
      <c r="W11" s="25">
        <v>0.88</v>
      </c>
      <c r="X11" s="24" t="s">
        <v>1</v>
      </c>
      <c r="Y11" s="25">
        <f>日除け効果係数!H8</f>
        <v>0.62666666666666671</v>
      </c>
      <c r="Z11" s="24" t="s">
        <v>1</v>
      </c>
      <c r="AA11" s="25">
        <f t="shared" si="5"/>
        <v>3.7050000000000001</v>
      </c>
      <c r="AB11" s="24" t="s">
        <v>1</v>
      </c>
      <c r="AC11" s="25">
        <v>0.504</v>
      </c>
      <c r="AD11" s="24" t="s">
        <v>2</v>
      </c>
      <c r="AE11" s="26">
        <f t="shared" si="2"/>
        <v>1.029764736</v>
      </c>
    </row>
    <row r="12" spans="2:31" ht="30" customHeight="1" x14ac:dyDescent="0.15">
      <c r="B12" s="21" t="s">
        <v>121</v>
      </c>
      <c r="C12" s="21" t="s">
        <v>150</v>
      </c>
      <c r="D12" s="22">
        <f>2.85*1.3</f>
        <v>3.7050000000000001</v>
      </c>
      <c r="E12" s="23">
        <v>6.51</v>
      </c>
      <c r="F12" s="24" t="s">
        <v>1</v>
      </c>
      <c r="G12" s="25">
        <f t="shared" si="3"/>
        <v>3.7050000000000001</v>
      </c>
      <c r="H12" s="24" t="s">
        <v>1</v>
      </c>
      <c r="I12" s="25">
        <v>1</v>
      </c>
      <c r="J12" s="24" t="s">
        <v>2</v>
      </c>
      <c r="K12" s="26">
        <f t="shared" si="4"/>
        <v>24.11955</v>
      </c>
      <c r="L12" s="23" t="s">
        <v>222</v>
      </c>
      <c r="M12" s="25">
        <v>0.88</v>
      </c>
      <c r="N12" s="24" t="s">
        <v>1</v>
      </c>
      <c r="O12" s="25">
        <f>日除け効果係数!G9</f>
        <v>0.55592705167173251</v>
      </c>
      <c r="P12" s="24" t="s">
        <v>1</v>
      </c>
      <c r="Q12" s="25">
        <f t="shared" si="0"/>
        <v>3.7050000000000001</v>
      </c>
      <c r="R12" s="24" t="s">
        <v>1</v>
      </c>
      <c r="S12" s="25">
        <v>0.57899999999999996</v>
      </c>
      <c r="T12" s="24" t="s">
        <v>2</v>
      </c>
      <c r="U12" s="26">
        <f t="shared" si="1"/>
        <v>1.0494632998176292</v>
      </c>
      <c r="V12" s="23" t="s">
        <v>222</v>
      </c>
      <c r="W12" s="25">
        <v>0.88</v>
      </c>
      <c r="X12" s="24" t="s">
        <v>1</v>
      </c>
      <c r="Y12" s="25">
        <f>日除け効果係数!H9</f>
        <v>0.88948328267477206</v>
      </c>
      <c r="Z12" s="24" t="s">
        <v>1</v>
      </c>
      <c r="AA12" s="25">
        <f t="shared" si="5"/>
        <v>3.7050000000000001</v>
      </c>
      <c r="AB12" s="24" t="s">
        <v>1</v>
      </c>
      <c r="AC12" s="25">
        <v>0.51200000000000001</v>
      </c>
      <c r="AD12" s="24" t="s">
        <v>2</v>
      </c>
      <c r="AE12" s="26">
        <f t="shared" si="2"/>
        <v>1.4848365029544075</v>
      </c>
    </row>
    <row r="13" spans="2:31" ht="30" customHeight="1" x14ac:dyDescent="0.15">
      <c r="B13" s="21" t="s">
        <v>152</v>
      </c>
      <c r="C13" s="21" t="s">
        <v>150</v>
      </c>
      <c r="D13" s="22">
        <f>2.85*0.3</f>
        <v>0.85499999999999998</v>
      </c>
      <c r="E13" s="23">
        <v>6.51</v>
      </c>
      <c r="F13" s="24" t="s">
        <v>1</v>
      </c>
      <c r="G13" s="25">
        <f t="shared" si="3"/>
        <v>0.85499999999999998</v>
      </c>
      <c r="H13" s="24" t="s">
        <v>1</v>
      </c>
      <c r="I13" s="25">
        <v>1</v>
      </c>
      <c r="J13" s="24" t="s">
        <v>2</v>
      </c>
      <c r="K13" s="26">
        <f t="shared" si="4"/>
        <v>5.5660499999999997</v>
      </c>
      <c r="L13" s="23" t="s">
        <v>222</v>
      </c>
      <c r="M13" s="25">
        <v>0.88</v>
      </c>
      <c r="N13" s="24" t="s">
        <v>1</v>
      </c>
      <c r="O13" s="25">
        <f>日除け効果係数!G10</f>
        <v>0.16838905775075985</v>
      </c>
      <c r="P13" s="24" t="s">
        <v>1</v>
      </c>
      <c r="Q13" s="25">
        <f t="shared" si="0"/>
        <v>0.85499999999999998</v>
      </c>
      <c r="R13" s="24" t="s">
        <v>1</v>
      </c>
      <c r="S13" s="25">
        <v>0.57899999999999996</v>
      </c>
      <c r="T13" s="24" t="s">
        <v>2</v>
      </c>
      <c r="U13" s="26">
        <f t="shared" si="1"/>
        <v>7.3356941762917918E-2</v>
      </c>
      <c r="V13" s="23" t="s">
        <v>222</v>
      </c>
      <c r="W13" s="25">
        <v>0.88</v>
      </c>
      <c r="X13" s="24" t="s">
        <v>1</v>
      </c>
      <c r="Y13" s="25">
        <f>日除け効果係数!H10</f>
        <v>0.2694224924012158</v>
      </c>
      <c r="Z13" s="24" t="s">
        <v>1</v>
      </c>
      <c r="AA13" s="25">
        <f t="shared" si="5"/>
        <v>0.85499999999999998</v>
      </c>
      <c r="AB13" s="24" t="s">
        <v>1</v>
      </c>
      <c r="AC13" s="25">
        <v>0.51200000000000001</v>
      </c>
      <c r="AD13" s="24" t="s">
        <v>2</v>
      </c>
      <c r="AE13" s="26">
        <f t="shared" si="2"/>
        <v>0.10378930344072948</v>
      </c>
    </row>
    <row r="14" spans="2:31" ht="30" customHeight="1" x14ac:dyDescent="0.15">
      <c r="B14" s="21" t="s">
        <v>125</v>
      </c>
      <c r="C14" s="21" t="s">
        <v>150</v>
      </c>
      <c r="D14" s="22">
        <f>1.365*1.3</f>
        <v>1.7745</v>
      </c>
      <c r="E14" s="23">
        <v>6.51</v>
      </c>
      <c r="F14" s="24" t="s">
        <v>1</v>
      </c>
      <c r="G14" s="25">
        <f t="shared" si="3"/>
        <v>1.7745</v>
      </c>
      <c r="H14" s="24" t="s">
        <v>1</v>
      </c>
      <c r="I14" s="25">
        <v>1</v>
      </c>
      <c r="J14" s="24" t="s">
        <v>2</v>
      </c>
      <c r="K14" s="26">
        <f t="shared" si="4"/>
        <v>11.551995</v>
      </c>
      <c r="L14" s="23" t="s">
        <v>222</v>
      </c>
      <c r="M14" s="25">
        <v>0.88</v>
      </c>
      <c r="N14" s="24" t="s">
        <v>1</v>
      </c>
      <c r="O14" s="25">
        <f>日除け効果係数!G11</f>
        <v>0.27725258493353028</v>
      </c>
      <c r="P14" s="24" t="s">
        <v>1</v>
      </c>
      <c r="Q14" s="25">
        <f t="shared" si="0"/>
        <v>1.7745</v>
      </c>
      <c r="R14" s="24" t="s">
        <v>1</v>
      </c>
      <c r="S14" s="25">
        <v>0.57899999999999996</v>
      </c>
      <c r="T14" s="24" t="s">
        <v>2</v>
      </c>
      <c r="U14" s="26">
        <f t="shared" si="1"/>
        <v>0.25067605044017721</v>
      </c>
      <c r="V14" s="23" t="s">
        <v>222</v>
      </c>
      <c r="W14" s="25">
        <v>0.88</v>
      </c>
      <c r="X14" s="24" t="s">
        <v>1</v>
      </c>
      <c r="Y14" s="25">
        <f>日除け効果係数!H11</f>
        <v>0.44360413589364844</v>
      </c>
      <c r="Z14" s="24" t="s">
        <v>1</v>
      </c>
      <c r="AA14" s="25">
        <f t="shared" si="5"/>
        <v>1.7745</v>
      </c>
      <c r="AB14" s="24" t="s">
        <v>1</v>
      </c>
      <c r="AC14" s="25">
        <v>0.51200000000000001</v>
      </c>
      <c r="AD14" s="24" t="s">
        <v>2</v>
      </c>
      <c r="AE14" s="26">
        <f t="shared" si="2"/>
        <v>0.35466981091639588</v>
      </c>
    </row>
    <row r="15" spans="2:31" ht="30" customHeight="1" x14ac:dyDescent="0.15">
      <c r="B15" s="21" t="s">
        <v>128</v>
      </c>
      <c r="C15" s="21" t="s">
        <v>150</v>
      </c>
      <c r="D15" s="22">
        <f>0.95*1.15</f>
        <v>1.0924999999999998</v>
      </c>
      <c r="E15" s="23">
        <v>6.51</v>
      </c>
      <c r="F15" s="24" t="s">
        <v>1</v>
      </c>
      <c r="G15" s="25">
        <f t="shared" si="3"/>
        <v>1.0924999999999998</v>
      </c>
      <c r="H15" s="24" t="s">
        <v>1</v>
      </c>
      <c r="I15" s="25">
        <v>1</v>
      </c>
      <c r="J15" s="24" t="s">
        <v>2</v>
      </c>
      <c r="K15" s="26">
        <f t="shared" si="4"/>
        <v>7.1121749999999988</v>
      </c>
      <c r="L15" s="23" t="s">
        <v>221</v>
      </c>
      <c r="M15" s="25">
        <v>0.88</v>
      </c>
      <c r="N15" s="24" t="s">
        <v>1</v>
      </c>
      <c r="O15" s="25">
        <f>日除け効果係数!G12</f>
        <v>0.41666666666666674</v>
      </c>
      <c r="P15" s="24" t="s">
        <v>1</v>
      </c>
      <c r="Q15" s="25">
        <f t="shared" si="0"/>
        <v>1.0924999999999998</v>
      </c>
      <c r="R15" s="24" t="s">
        <v>1</v>
      </c>
      <c r="S15" s="25">
        <v>0.52300000000000002</v>
      </c>
      <c r="T15" s="24" t="s">
        <v>2</v>
      </c>
      <c r="U15" s="26">
        <f t="shared" si="1"/>
        <v>0.20950508333333334</v>
      </c>
      <c r="V15" s="23" t="s">
        <v>221</v>
      </c>
      <c r="W15" s="25">
        <v>0.88</v>
      </c>
      <c r="X15" s="24" t="s">
        <v>1</v>
      </c>
      <c r="Y15" s="25">
        <f>日除け効果係数!H12</f>
        <v>0.66666666666666663</v>
      </c>
      <c r="Z15" s="24" t="s">
        <v>1</v>
      </c>
      <c r="AA15" s="25">
        <f t="shared" si="5"/>
        <v>1.0924999999999998</v>
      </c>
      <c r="AB15" s="24" t="s">
        <v>1</v>
      </c>
      <c r="AC15" s="25">
        <v>0.504</v>
      </c>
      <c r="AD15" s="24" t="s">
        <v>2</v>
      </c>
      <c r="AE15" s="26">
        <f t="shared" si="2"/>
        <v>0.32303039999999994</v>
      </c>
    </row>
    <row r="16" spans="2:31" ht="30" customHeight="1" x14ac:dyDescent="0.15">
      <c r="B16" s="21"/>
      <c r="C16" s="21"/>
      <c r="D16" s="22"/>
      <c r="E16" s="23"/>
      <c r="F16" s="24" t="s">
        <v>1</v>
      </c>
      <c r="G16" s="25"/>
      <c r="H16" s="24" t="s">
        <v>1</v>
      </c>
      <c r="I16" s="25"/>
      <c r="J16" s="24" t="s">
        <v>2</v>
      </c>
      <c r="K16" s="26"/>
      <c r="L16" s="23"/>
      <c r="M16" s="25"/>
      <c r="N16" s="24" t="s">
        <v>1</v>
      </c>
      <c r="O16" s="25"/>
      <c r="P16" s="24" t="s">
        <v>1</v>
      </c>
      <c r="Q16" s="25"/>
      <c r="R16" s="24" t="s">
        <v>1</v>
      </c>
      <c r="S16" s="25"/>
      <c r="T16" s="24" t="s">
        <v>2</v>
      </c>
      <c r="U16" s="26"/>
      <c r="V16" s="23"/>
      <c r="W16" s="25"/>
      <c r="X16" s="24" t="s">
        <v>1</v>
      </c>
      <c r="Y16" s="25"/>
      <c r="Z16" s="24" t="s">
        <v>1</v>
      </c>
      <c r="AA16" s="25"/>
      <c r="AB16" s="24" t="s">
        <v>1</v>
      </c>
      <c r="AC16" s="25"/>
      <c r="AD16" s="24" t="s">
        <v>2</v>
      </c>
      <c r="AE16" s="26"/>
    </row>
    <row r="17" spans="2:31" ht="30" customHeight="1" x14ac:dyDescent="0.15">
      <c r="B17" s="21"/>
      <c r="C17" s="21"/>
      <c r="D17" s="22"/>
      <c r="E17" s="23"/>
      <c r="F17" s="24" t="s">
        <v>1</v>
      </c>
      <c r="G17" s="25"/>
      <c r="H17" s="24" t="s">
        <v>1</v>
      </c>
      <c r="I17" s="25"/>
      <c r="J17" s="24" t="s">
        <v>2</v>
      </c>
      <c r="K17" s="26"/>
      <c r="L17" s="23"/>
      <c r="M17" s="25"/>
      <c r="N17" s="24" t="s">
        <v>1</v>
      </c>
      <c r="O17" s="25"/>
      <c r="P17" s="24" t="s">
        <v>1</v>
      </c>
      <c r="Q17" s="25"/>
      <c r="R17" s="24" t="s">
        <v>1</v>
      </c>
      <c r="S17" s="25"/>
      <c r="T17" s="24" t="s">
        <v>2</v>
      </c>
      <c r="U17" s="26"/>
      <c r="V17" s="23"/>
      <c r="W17" s="25"/>
      <c r="X17" s="24" t="s">
        <v>1</v>
      </c>
      <c r="Y17" s="25"/>
      <c r="Z17" s="24" t="s">
        <v>1</v>
      </c>
      <c r="AA17" s="25"/>
      <c r="AB17" s="24" t="s">
        <v>1</v>
      </c>
      <c r="AC17" s="25"/>
      <c r="AD17" s="24" t="s">
        <v>2</v>
      </c>
      <c r="AE17" s="26"/>
    </row>
    <row r="18" spans="2:31" ht="30" customHeight="1" x14ac:dyDescent="0.15">
      <c r="B18" s="21"/>
      <c r="C18" s="21"/>
      <c r="D18" s="22"/>
      <c r="E18" s="23"/>
      <c r="F18" s="24" t="s">
        <v>1</v>
      </c>
      <c r="G18" s="25"/>
      <c r="H18" s="24" t="s">
        <v>1</v>
      </c>
      <c r="I18" s="25"/>
      <c r="J18" s="24" t="s">
        <v>2</v>
      </c>
      <c r="K18" s="26"/>
      <c r="L18" s="23"/>
      <c r="M18" s="25"/>
      <c r="N18" s="24" t="s">
        <v>1</v>
      </c>
      <c r="O18" s="25"/>
      <c r="P18" s="24" t="s">
        <v>1</v>
      </c>
      <c r="Q18" s="25"/>
      <c r="R18" s="24" t="s">
        <v>1</v>
      </c>
      <c r="S18" s="25"/>
      <c r="T18" s="24" t="s">
        <v>2</v>
      </c>
      <c r="U18" s="26"/>
      <c r="V18" s="23"/>
      <c r="W18" s="25"/>
      <c r="X18" s="24" t="s">
        <v>1</v>
      </c>
      <c r="Y18" s="25"/>
      <c r="Z18" s="24" t="s">
        <v>1</v>
      </c>
      <c r="AA18" s="25"/>
      <c r="AB18" s="24" t="s">
        <v>1</v>
      </c>
      <c r="AC18" s="25"/>
      <c r="AD18" s="24" t="s">
        <v>2</v>
      </c>
      <c r="AE18" s="26"/>
    </row>
    <row r="19" spans="2:31" ht="30" customHeight="1" x14ac:dyDescent="0.15">
      <c r="B19" s="27"/>
      <c r="C19" s="27"/>
      <c r="D19" s="28"/>
      <c r="E19" s="29"/>
      <c r="F19" s="24" t="s">
        <v>1</v>
      </c>
      <c r="G19" s="24"/>
      <c r="H19" s="24" t="s">
        <v>1</v>
      </c>
      <c r="I19" s="24"/>
      <c r="J19" s="24" t="s">
        <v>2</v>
      </c>
      <c r="K19" s="30"/>
      <c r="L19" s="29"/>
      <c r="M19" s="24"/>
      <c r="N19" s="24" t="s">
        <v>1</v>
      </c>
      <c r="O19" s="24"/>
      <c r="P19" s="24" t="s">
        <v>1</v>
      </c>
      <c r="Q19" s="24"/>
      <c r="R19" s="24" t="s">
        <v>1</v>
      </c>
      <c r="S19" s="24"/>
      <c r="T19" s="24" t="s">
        <v>2</v>
      </c>
      <c r="U19" s="30"/>
      <c r="V19" s="29"/>
      <c r="W19" s="24"/>
      <c r="X19" s="24" t="s">
        <v>1</v>
      </c>
      <c r="Y19" s="24"/>
      <c r="Z19" s="24" t="s">
        <v>1</v>
      </c>
      <c r="AA19" s="24"/>
      <c r="AB19" s="24" t="s">
        <v>1</v>
      </c>
      <c r="AC19" s="24"/>
      <c r="AD19" s="24" t="s">
        <v>2</v>
      </c>
      <c r="AE19" s="30"/>
    </row>
    <row r="20" spans="2:31" ht="30" customHeight="1" x14ac:dyDescent="0.15">
      <c r="B20" s="27"/>
      <c r="C20" s="27"/>
      <c r="D20" s="28"/>
      <c r="E20" s="29"/>
      <c r="F20" s="24" t="s">
        <v>1</v>
      </c>
      <c r="G20" s="24"/>
      <c r="H20" s="24" t="s">
        <v>1</v>
      </c>
      <c r="I20" s="24"/>
      <c r="J20" s="24" t="s">
        <v>2</v>
      </c>
      <c r="K20" s="30"/>
      <c r="L20" s="29"/>
      <c r="M20" s="24"/>
      <c r="N20" s="24" t="s">
        <v>1</v>
      </c>
      <c r="O20" s="24"/>
      <c r="P20" s="24" t="s">
        <v>1</v>
      </c>
      <c r="Q20" s="24"/>
      <c r="R20" s="24" t="s">
        <v>1</v>
      </c>
      <c r="S20" s="24"/>
      <c r="T20" s="24" t="s">
        <v>2</v>
      </c>
      <c r="U20" s="30"/>
      <c r="V20" s="29"/>
      <c r="W20" s="24"/>
      <c r="X20" s="24" t="s">
        <v>1</v>
      </c>
      <c r="Y20" s="24"/>
      <c r="Z20" s="24" t="s">
        <v>1</v>
      </c>
      <c r="AA20" s="24"/>
      <c r="AB20" s="24" t="s">
        <v>1</v>
      </c>
      <c r="AC20" s="24"/>
      <c r="AD20" s="24" t="s">
        <v>2</v>
      </c>
      <c r="AE20" s="30"/>
    </row>
    <row r="21" spans="2:31" ht="30" customHeight="1" x14ac:dyDescent="0.15">
      <c r="B21" s="27"/>
      <c r="C21" s="27"/>
      <c r="D21" s="28"/>
      <c r="E21" s="29"/>
      <c r="F21" s="24" t="s">
        <v>1</v>
      </c>
      <c r="G21" s="24"/>
      <c r="H21" s="24" t="s">
        <v>1</v>
      </c>
      <c r="I21" s="24"/>
      <c r="J21" s="24" t="s">
        <v>2</v>
      </c>
      <c r="K21" s="30"/>
      <c r="L21" s="29"/>
      <c r="M21" s="24"/>
      <c r="N21" s="24" t="s">
        <v>1</v>
      </c>
      <c r="O21" s="24"/>
      <c r="P21" s="24" t="s">
        <v>1</v>
      </c>
      <c r="Q21" s="24"/>
      <c r="R21" s="24" t="s">
        <v>1</v>
      </c>
      <c r="S21" s="24"/>
      <c r="T21" s="24" t="s">
        <v>2</v>
      </c>
      <c r="U21" s="30"/>
      <c r="V21" s="29"/>
      <c r="W21" s="24"/>
      <c r="X21" s="24" t="s">
        <v>1</v>
      </c>
      <c r="Y21" s="24"/>
      <c r="Z21" s="24" t="s">
        <v>1</v>
      </c>
      <c r="AA21" s="24"/>
      <c r="AB21" s="24" t="s">
        <v>1</v>
      </c>
      <c r="AC21" s="24"/>
      <c r="AD21" s="24" t="s">
        <v>2</v>
      </c>
      <c r="AE21" s="30"/>
    </row>
    <row r="22" spans="2:31" ht="30" customHeight="1" x14ac:dyDescent="0.15">
      <c r="B22" s="27"/>
      <c r="C22" s="27"/>
      <c r="D22" s="28"/>
      <c r="E22" s="29"/>
      <c r="F22" s="24" t="s">
        <v>1</v>
      </c>
      <c r="G22" s="24"/>
      <c r="H22" s="24" t="s">
        <v>1</v>
      </c>
      <c r="I22" s="24"/>
      <c r="J22" s="24" t="s">
        <v>2</v>
      </c>
      <c r="K22" s="30"/>
      <c r="L22" s="29"/>
      <c r="M22" s="24"/>
      <c r="N22" s="24" t="s">
        <v>1</v>
      </c>
      <c r="O22" s="24"/>
      <c r="P22" s="24" t="s">
        <v>1</v>
      </c>
      <c r="Q22" s="24"/>
      <c r="R22" s="24" t="s">
        <v>1</v>
      </c>
      <c r="S22" s="24"/>
      <c r="T22" s="24" t="s">
        <v>2</v>
      </c>
      <c r="U22" s="30"/>
      <c r="V22" s="29"/>
      <c r="W22" s="24"/>
      <c r="X22" s="24" t="s">
        <v>1</v>
      </c>
      <c r="Y22" s="24"/>
      <c r="Z22" s="24" t="s">
        <v>1</v>
      </c>
      <c r="AA22" s="24"/>
      <c r="AB22" s="24" t="s">
        <v>1</v>
      </c>
      <c r="AC22" s="24"/>
      <c r="AD22" s="24" t="s">
        <v>2</v>
      </c>
      <c r="AE22" s="30"/>
    </row>
    <row r="23" spans="2:31" ht="30" customHeight="1" x14ac:dyDescent="0.15">
      <c r="B23" s="27"/>
      <c r="C23" s="27"/>
      <c r="D23" s="28"/>
      <c r="E23" s="29"/>
      <c r="F23" s="24" t="s">
        <v>1</v>
      </c>
      <c r="G23" s="24"/>
      <c r="H23" s="24" t="s">
        <v>1</v>
      </c>
      <c r="I23" s="24"/>
      <c r="J23" s="24" t="s">
        <v>2</v>
      </c>
      <c r="K23" s="30"/>
      <c r="L23" s="29"/>
      <c r="M23" s="24"/>
      <c r="N23" s="24" t="s">
        <v>1</v>
      </c>
      <c r="O23" s="24"/>
      <c r="P23" s="24" t="s">
        <v>1</v>
      </c>
      <c r="Q23" s="24"/>
      <c r="R23" s="24" t="s">
        <v>1</v>
      </c>
      <c r="S23" s="24"/>
      <c r="T23" s="24" t="s">
        <v>2</v>
      </c>
      <c r="U23" s="30"/>
      <c r="V23" s="29"/>
      <c r="W23" s="24"/>
      <c r="X23" s="24" t="s">
        <v>1</v>
      </c>
      <c r="Y23" s="24"/>
      <c r="Z23" s="24" t="s">
        <v>1</v>
      </c>
      <c r="AA23" s="24"/>
      <c r="AB23" s="24" t="s">
        <v>1</v>
      </c>
      <c r="AC23" s="24"/>
      <c r="AD23" s="24" t="s">
        <v>2</v>
      </c>
      <c r="AE23" s="30"/>
    </row>
    <row r="24" spans="2:31" ht="30" customHeight="1" x14ac:dyDescent="0.15">
      <c r="B24" s="27"/>
      <c r="C24" s="27"/>
      <c r="D24" s="28"/>
      <c r="E24" s="29"/>
      <c r="F24" s="24" t="s">
        <v>1</v>
      </c>
      <c r="G24" s="24"/>
      <c r="H24" s="24" t="s">
        <v>1</v>
      </c>
      <c r="I24" s="24"/>
      <c r="J24" s="24" t="s">
        <v>2</v>
      </c>
      <c r="K24" s="30"/>
      <c r="L24" s="29"/>
      <c r="M24" s="24"/>
      <c r="N24" s="24" t="s">
        <v>1</v>
      </c>
      <c r="O24" s="24"/>
      <c r="P24" s="24" t="s">
        <v>1</v>
      </c>
      <c r="Q24" s="24"/>
      <c r="R24" s="24" t="s">
        <v>1</v>
      </c>
      <c r="S24" s="24"/>
      <c r="T24" s="24" t="s">
        <v>2</v>
      </c>
      <c r="U24" s="30"/>
      <c r="V24" s="29"/>
      <c r="W24" s="24"/>
      <c r="X24" s="24" t="s">
        <v>1</v>
      </c>
      <c r="Y24" s="24"/>
      <c r="Z24" s="24" t="s">
        <v>1</v>
      </c>
      <c r="AA24" s="24"/>
      <c r="AB24" s="24" t="s">
        <v>1</v>
      </c>
      <c r="AC24" s="24"/>
      <c r="AD24" s="24" t="s">
        <v>2</v>
      </c>
      <c r="AE24" s="30"/>
    </row>
    <row r="25" spans="2:31" ht="30" customHeight="1" x14ac:dyDescent="0.15">
      <c r="B25" s="27"/>
      <c r="C25" s="27"/>
      <c r="D25" s="28"/>
      <c r="E25" s="29"/>
      <c r="F25" s="24" t="s">
        <v>1</v>
      </c>
      <c r="G25" s="24"/>
      <c r="H25" s="24" t="s">
        <v>1</v>
      </c>
      <c r="I25" s="24"/>
      <c r="J25" s="24" t="s">
        <v>2</v>
      </c>
      <c r="K25" s="30"/>
      <c r="L25" s="29"/>
      <c r="M25" s="24"/>
      <c r="N25" s="24" t="s">
        <v>1</v>
      </c>
      <c r="O25" s="24"/>
      <c r="P25" s="24" t="s">
        <v>1</v>
      </c>
      <c r="Q25" s="24"/>
      <c r="R25" s="24" t="s">
        <v>1</v>
      </c>
      <c r="S25" s="24"/>
      <c r="T25" s="24" t="s">
        <v>2</v>
      </c>
      <c r="U25" s="30"/>
      <c r="V25" s="29"/>
      <c r="W25" s="24"/>
      <c r="X25" s="24" t="s">
        <v>1</v>
      </c>
      <c r="Y25" s="24"/>
      <c r="Z25" s="24" t="s">
        <v>1</v>
      </c>
      <c r="AA25" s="24"/>
      <c r="AB25" s="24" t="s">
        <v>1</v>
      </c>
      <c r="AC25" s="24"/>
      <c r="AD25" s="24" t="s">
        <v>2</v>
      </c>
      <c r="AE25" s="30"/>
    </row>
    <row r="26" spans="2:31" ht="30" customHeight="1" x14ac:dyDescent="0.15">
      <c r="B26" s="27"/>
      <c r="C26" s="27"/>
      <c r="D26" s="28"/>
      <c r="E26" s="29"/>
      <c r="F26" s="24" t="s">
        <v>1</v>
      </c>
      <c r="G26" s="24"/>
      <c r="H26" s="24" t="s">
        <v>1</v>
      </c>
      <c r="I26" s="24"/>
      <c r="J26" s="24" t="s">
        <v>2</v>
      </c>
      <c r="K26" s="30"/>
      <c r="L26" s="29"/>
      <c r="M26" s="24"/>
      <c r="N26" s="24" t="s">
        <v>1</v>
      </c>
      <c r="O26" s="24"/>
      <c r="P26" s="24" t="s">
        <v>1</v>
      </c>
      <c r="Q26" s="24"/>
      <c r="R26" s="24" t="s">
        <v>1</v>
      </c>
      <c r="S26" s="24"/>
      <c r="T26" s="24" t="s">
        <v>2</v>
      </c>
      <c r="U26" s="30"/>
      <c r="V26" s="29"/>
      <c r="W26" s="24"/>
      <c r="X26" s="24" t="s">
        <v>1</v>
      </c>
      <c r="Y26" s="24"/>
      <c r="Z26" s="24" t="s">
        <v>1</v>
      </c>
      <c r="AA26" s="24"/>
      <c r="AB26" s="24" t="s">
        <v>1</v>
      </c>
      <c r="AC26" s="24"/>
      <c r="AD26" s="24" t="s">
        <v>2</v>
      </c>
      <c r="AE26" s="30"/>
    </row>
    <row r="27" spans="2:31" ht="30" customHeight="1" x14ac:dyDescent="0.15">
      <c r="B27" s="27"/>
      <c r="C27" s="27"/>
      <c r="D27" s="28"/>
      <c r="E27" s="29"/>
      <c r="F27" s="24" t="s">
        <v>1</v>
      </c>
      <c r="G27" s="24"/>
      <c r="H27" s="24" t="s">
        <v>1</v>
      </c>
      <c r="I27" s="24"/>
      <c r="J27" s="24" t="s">
        <v>2</v>
      </c>
      <c r="K27" s="30"/>
      <c r="L27" s="29"/>
      <c r="M27" s="24"/>
      <c r="N27" s="24" t="s">
        <v>1</v>
      </c>
      <c r="O27" s="24"/>
      <c r="P27" s="24" t="s">
        <v>1</v>
      </c>
      <c r="Q27" s="24"/>
      <c r="R27" s="24" t="s">
        <v>1</v>
      </c>
      <c r="S27" s="24"/>
      <c r="T27" s="24" t="s">
        <v>2</v>
      </c>
      <c r="U27" s="30"/>
      <c r="V27" s="29"/>
      <c r="W27" s="24"/>
      <c r="X27" s="24" t="s">
        <v>1</v>
      </c>
      <c r="Y27" s="24"/>
      <c r="Z27" s="24" t="s">
        <v>1</v>
      </c>
      <c r="AA27" s="24"/>
      <c r="AB27" s="24" t="s">
        <v>1</v>
      </c>
      <c r="AC27" s="24"/>
      <c r="AD27" s="24" t="s">
        <v>2</v>
      </c>
      <c r="AE27" s="30"/>
    </row>
    <row r="28" spans="2:31" ht="30" customHeight="1" x14ac:dyDescent="0.15">
      <c r="B28" s="27"/>
      <c r="C28" s="27"/>
      <c r="D28" s="28"/>
      <c r="E28" s="29"/>
      <c r="F28" s="24" t="s">
        <v>1</v>
      </c>
      <c r="G28" s="24"/>
      <c r="H28" s="24" t="s">
        <v>1</v>
      </c>
      <c r="I28" s="24"/>
      <c r="J28" s="24" t="s">
        <v>2</v>
      </c>
      <c r="K28" s="30"/>
      <c r="L28" s="29"/>
      <c r="M28" s="24"/>
      <c r="N28" s="24" t="s">
        <v>1</v>
      </c>
      <c r="O28" s="24"/>
      <c r="P28" s="24" t="s">
        <v>1</v>
      </c>
      <c r="Q28" s="24"/>
      <c r="R28" s="24" t="s">
        <v>1</v>
      </c>
      <c r="S28" s="24"/>
      <c r="T28" s="24" t="s">
        <v>2</v>
      </c>
      <c r="U28" s="30"/>
      <c r="V28" s="29"/>
      <c r="W28" s="24"/>
      <c r="X28" s="24" t="s">
        <v>1</v>
      </c>
      <c r="Y28" s="24"/>
      <c r="Z28" s="24" t="s">
        <v>1</v>
      </c>
      <c r="AA28" s="24"/>
      <c r="AB28" s="24" t="s">
        <v>1</v>
      </c>
      <c r="AC28" s="24"/>
      <c r="AD28" s="24" t="s">
        <v>2</v>
      </c>
      <c r="AE28" s="30"/>
    </row>
    <row r="29" spans="2:31" ht="30" customHeight="1" x14ac:dyDescent="0.15">
      <c r="B29" s="27"/>
      <c r="C29" s="27"/>
      <c r="D29" s="28"/>
      <c r="E29" s="29"/>
      <c r="F29" s="24" t="s">
        <v>1</v>
      </c>
      <c r="G29" s="24"/>
      <c r="H29" s="24" t="s">
        <v>1</v>
      </c>
      <c r="I29" s="24"/>
      <c r="J29" s="24" t="s">
        <v>2</v>
      </c>
      <c r="K29" s="30"/>
      <c r="L29" s="29"/>
      <c r="M29" s="24"/>
      <c r="N29" s="24" t="s">
        <v>1</v>
      </c>
      <c r="O29" s="24"/>
      <c r="P29" s="24" t="s">
        <v>1</v>
      </c>
      <c r="Q29" s="24"/>
      <c r="R29" s="24" t="s">
        <v>1</v>
      </c>
      <c r="S29" s="24"/>
      <c r="T29" s="24" t="s">
        <v>2</v>
      </c>
      <c r="U29" s="30"/>
      <c r="V29" s="29"/>
      <c r="W29" s="24"/>
      <c r="X29" s="24" t="s">
        <v>1</v>
      </c>
      <c r="Y29" s="24"/>
      <c r="Z29" s="24" t="s">
        <v>1</v>
      </c>
      <c r="AA29" s="24"/>
      <c r="AB29" s="24" t="s">
        <v>1</v>
      </c>
      <c r="AC29" s="24"/>
      <c r="AD29" s="24" t="s">
        <v>2</v>
      </c>
      <c r="AE29" s="30"/>
    </row>
    <row r="30" spans="2:31" ht="30" customHeight="1" x14ac:dyDescent="0.15">
      <c r="B30" s="27"/>
      <c r="C30" s="27"/>
      <c r="D30" s="28"/>
      <c r="E30" s="29"/>
      <c r="F30" s="24" t="s">
        <v>1</v>
      </c>
      <c r="G30" s="24"/>
      <c r="H30" s="24" t="s">
        <v>1</v>
      </c>
      <c r="I30" s="24"/>
      <c r="J30" s="24" t="s">
        <v>2</v>
      </c>
      <c r="K30" s="30"/>
      <c r="L30" s="29"/>
      <c r="M30" s="24"/>
      <c r="N30" s="24" t="s">
        <v>1</v>
      </c>
      <c r="O30" s="24"/>
      <c r="P30" s="24" t="s">
        <v>1</v>
      </c>
      <c r="Q30" s="24"/>
      <c r="R30" s="24" t="s">
        <v>1</v>
      </c>
      <c r="S30" s="24"/>
      <c r="T30" s="24" t="s">
        <v>2</v>
      </c>
      <c r="U30" s="30"/>
      <c r="V30" s="29"/>
      <c r="W30" s="24"/>
      <c r="X30" s="24" t="s">
        <v>1</v>
      </c>
      <c r="Y30" s="24"/>
      <c r="Z30" s="24" t="s">
        <v>1</v>
      </c>
      <c r="AA30" s="24"/>
      <c r="AB30" s="24" t="s">
        <v>1</v>
      </c>
      <c r="AC30" s="24"/>
      <c r="AD30" s="24" t="s">
        <v>2</v>
      </c>
      <c r="AE30" s="30"/>
    </row>
    <row r="31" spans="2:31" ht="30" customHeight="1" x14ac:dyDescent="0.15">
      <c r="B31" s="27"/>
      <c r="C31" s="27"/>
      <c r="D31" s="28"/>
      <c r="E31" s="29"/>
      <c r="F31" s="24" t="s">
        <v>1</v>
      </c>
      <c r="G31" s="24"/>
      <c r="H31" s="24" t="s">
        <v>1</v>
      </c>
      <c r="I31" s="24"/>
      <c r="J31" s="24" t="s">
        <v>2</v>
      </c>
      <c r="K31" s="30"/>
      <c r="L31" s="29"/>
      <c r="M31" s="24"/>
      <c r="N31" s="24" t="s">
        <v>1</v>
      </c>
      <c r="O31" s="24"/>
      <c r="P31" s="24" t="s">
        <v>1</v>
      </c>
      <c r="Q31" s="24"/>
      <c r="R31" s="24" t="s">
        <v>1</v>
      </c>
      <c r="S31" s="24"/>
      <c r="T31" s="24" t="s">
        <v>2</v>
      </c>
      <c r="U31" s="30"/>
      <c r="V31" s="29"/>
      <c r="W31" s="24"/>
      <c r="X31" s="24" t="s">
        <v>1</v>
      </c>
      <c r="Y31" s="24"/>
      <c r="Z31" s="24" t="s">
        <v>1</v>
      </c>
      <c r="AA31" s="24"/>
      <c r="AB31" s="24" t="s">
        <v>1</v>
      </c>
      <c r="AC31" s="24"/>
      <c r="AD31" s="24" t="s">
        <v>2</v>
      </c>
      <c r="AE31" s="30"/>
    </row>
    <row r="32" spans="2:31" ht="30" customHeight="1" x14ac:dyDescent="0.15">
      <c r="B32" s="27"/>
      <c r="C32" s="27"/>
      <c r="D32" s="28"/>
      <c r="E32" s="29"/>
      <c r="F32" s="24" t="s">
        <v>1</v>
      </c>
      <c r="G32" s="24"/>
      <c r="H32" s="24" t="s">
        <v>1</v>
      </c>
      <c r="I32" s="24"/>
      <c r="J32" s="24" t="s">
        <v>2</v>
      </c>
      <c r="K32" s="30"/>
      <c r="L32" s="29"/>
      <c r="M32" s="24"/>
      <c r="N32" s="24" t="s">
        <v>1</v>
      </c>
      <c r="O32" s="24"/>
      <c r="P32" s="24" t="s">
        <v>1</v>
      </c>
      <c r="Q32" s="24"/>
      <c r="R32" s="24" t="s">
        <v>1</v>
      </c>
      <c r="S32" s="24"/>
      <c r="T32" s="24" t="s">
        <v>2</v>
      </c>
      <c r="U32" s="30"/>
      <c r="V32" s="29"/>
      <c r="W32" s="24"/>
      <c r="X32" s="24" t="s">
        <v>1</v>
      </c>
      <c r="Y32" s="24"/>
      <c r="Z32" s="24" t="s">
        <v>1</v>
      </c>
      <c r="AA32" s="24"/>
      <c r="AB32" s="24" t="s">
        <v>1</v>
      </c>
      <c r="AC32" s="24"/>
      <c r="AD32" s="24" t="s">
        <v>2</v>
      </c>
      <c r="AE32" s="30"/>
    </row>
    <row r="33" spans="2:31" ht="30" customHeight="1" x14ac:dyDescent="0.15">
      <c r="B33" s="27"/>
      <c r="C33" s="27"/>
      <c r="D33" s="28"/>
      <c r="E33" s="29"/>
      <c r="F33" s="24" t="s">
        <v>1</v>
      </c>
      <c r="G33" s="24"/>
      <c r="H33" s="24" t="s">
        <v>1</v>
      </c>
      <c r="I33" s="24"/>
      <c r="J33" s="24" t="s">
        <v>2</v>
      </c>
      <c r="K33" s="30"/>
      <c r="L33" s="29"/>
      <c r="M33" s="24"/>
      <c r="N33" s="24" t="s">
        <v>1</v>
      </c>
      <c r="O33" s="24"/>
      <c r="P33" s="24" t="s">
        <v>1</v>
      </c>
      <c r="Q33" s="24"/>
      <c r="R33" s="24" t="s">
        <v>1</v>
      </c>
      <c r="S33" s="24"/>
      <c r="T33" s="24" t="s">
        <v>2</v>
      </c>
      <c r="U33" s="30"/>
      <c r="V33" s="29"/>
      <c r="W33" s="24"/>
      <c r="X33" s="24" t="s">
        <v>1</v>
      </c>
      <c r="Y33" s="24"/>
      <c r="Z33" s="24" t="s">
        <v>1</v>
      </c>
      <c r="AA33" s="24"/>
      <c r="AB33" s="24" t="s">
        <v>1</v>
      </c>
      <c r="AC33" s="24"/>
      <c r="AD33" s="24" t="s">
        <v>2</v>
      </c>
      <c r="AE33" s="30"/>
    </row>
    <row r="34" spans="2:31" ht="30" customHeight="1" x14ac:dyDescent="0.15">
      <c r="B34" s="27"/>
      <c r="C34" s="27"/>
      <c r="D34" s="28"/>
      <c r="E34" s="29"/>
      <c r="F34" s="24" t="s">
        <v>1</v>
      </c>
      <c r="G34" s="24"/>
      <c r="H34" s="24" t="s">
        <v>1</v>
      </c>
      <c r="I34" s="24"/>
      <c r="J34" s="24" t="s">
        <v>2</v>
      </c>
      <c r="K34" s="30"/>
      <c r="L34" s="29"/>
      <c r="M34" s="24"/>
      <c r="N34" s="24" t="s">
        <v>1</v>
      </c>
      <c r="O34" s="24"/>
      <c r="P34" s="24" t="s">
        <v>1</v>
      </c>
      <c r="Q34" s="24"/>
      <c r="R34" s="24" t="s">
        <v>1</v>
      </c>
      <c r="S34" s="24"/>
      <c r="T34" s="24" t="s">
        <v>2</v>
      </c>
      <c r="U34" s="30"/>
      <c r="V34" s="29"/>
      <c r="W34" s="24"/>
      <c r="X34" s="24" t="s">
        <v>1</v>
      </c>
      <c r="Y34" s="24"/>
      <c r="Z34" s="24" t="s">
        <v>1</v>
      </c>
      <c r="AA34" s="24"/>
      <c r="AB34" s="24" t="s">
        <v>1</v>
      </c>
      <c r="AC34" s="24"/>
      <c r="AD34" s="24" t="s">
        <v>2</v>
      </c>
      <c r="AE34" s="30"/>
    </row>
    <row r="35" spans="2:31" ht="30" customHeight="1" thickBot="1" x14ac:dyDescent="0.2">
      <c r="B35" s="31"/>
      <c r="C35" s="31"/>
      <c r="D35" s="32"/>
      <c r="E35" s="33"/>
      <c r="F35" s="34" t="s">
        <v>1</v>
      </c>
      <c r="G35" s="34"/>
      <c r="H35" s="34" t="s">
        <v>1</v>
      </c>
      <c r="I35" s="34"/>
      <c r="J35" s="34" t="s">
        <v>2</v>
      </c>
      <c r="K35" s="35"/>
      <c r="L35" s="33"/>
      <c r="M35" s="34"/>
      <c r="N35" s="34" t="s">
        <v>1</v>
      </c>
      <c r="O35" s="34"/>
      <c r="P35" s="34" t="s">
        <v>1</v>
      </c>
      <c r="Q35" s="34"/>
      <c r="R35" s="34" t="s">
        <v>1</v>
      </c>
      <c r="S35" s="34"/>
      <c r="T35" s="34" t="s">
        <v>2</v>
      </c>
      <c r="U35" s="35"/>
      <c r="V35" s="33"/>
      <c r="W35" s="34"/>
      <c r="X35" s="34" t="s">
        <v>1</v>
      </c>
      <c r="Y35" s="34"/>
      <c r="Z35" s="34" t="s">
        <v>1</v>
      </c>
      <c r="AA35" s="34"/>
      <c r="AB35" s="34" t="s">
        <v>1</v>
      </c>
      <c r="AC35" s="34"/>
      <c r="AD35" s="34" t="s">
        <v>2</v>
      </c>
      <c r="AE35" s="35"/>
    </row>
    <row r="36" spans="2:31" ht="16.5" thickBot="1" x14ac:dyDescent="0.2"/>
    <row r="37" spans="2:31" ht="16.5" thickBot="1" x14ac:dyDescent="0.2">
      <c r="G37" s="13">
        <f>SUM(G6:G35)</f>
        <v>23.712499999999999</v>
      </c>
      <c r="I37" s="13" t="s">
        <v>90</v>
      </c>
      <c r="K37" s="36">
        <f>SUM(K6:K15)</f>
        <v>154.36837500000001</v>
      </c>
      <c r="S37" s="13" t="s">
        <v>90</v>
      </c>
      <c r="U37" s="36">
        <f>SUM(U6:U15)</f>
        <v>5.2877777923762741</v>
      </c>
      <c r="AC37" s="13" t="s">
        <v>90</v>
      </c>
      <c r="AE37" s="36">
        <f>SUM(AE6:AE15)</f>
        <v>7.5156753706067096</v>
      </c>
    </row>
  </sheetData>
  <mergeCells count="6">
    <mergeCell ref="V3:AE3"/>
    <mergeCell ref="B3:C3"/>
    <mergeCell ref="E3:K3"/>
    <mergeCell ref="B4:B5"/>
    <mergeCell ref="C4:C5"/>
    <mergeCell ref="L3:U3"/>
  </mergeCells>
  <phoneticPr fontId="2"/>
  <pageMargins left="0.23622047244094491" right="0.23622047244094491" top="0.74803149606299213" bottom="0.74803149606299213" header="0.31496062992125984" footer="0.31496062992125984"/>
  <pageSetup paperSize="9" scale="51" fitToWidth="3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view="pageBreakPreview" zoomScale="130" zoomScaleNormal="100" zoomScaleSheetLayoutView="130" workbookViewId="0"/>
  </sheetViews>
  <sheetFormatPr defaultRowHeight="15.75" x14ac:dyDescent="0.15"/>
  <cols>
    <col min="1" max="1" width="3.5" style="13" customWidth="1"/>
    <col min="2" max="3" width="16.25" style="13" customWidth="1"/>
    <col min="4" max="4" width="12.625" style="13" bestFit="1" customWidth="1"/>
    <col min="5" max="5" width="3.25" style="13" bestFit="1" customWidth="1"/>
    <col min="6" max="6" width="10.125" style="13" customWidth="1"/>
    <col min="7" max="7" width="3.625" style="13" bestFit="1" customWidth="1"/>
    <col min="8" max="8" width="13.625" style="13" bestFit="1" customWidth="1"/>
    <col min="9" max="9" width="3.625" style="13" bestFit="1" customWidth="1"/>
    <col min="10" max="10" width="18" style="13" customWidth="1"/>
    <col min="11" max="16384" width="9" style="13"/>
  </cols>
  <sheetData>
    <row r="2" spans="2:10" ht="21.75" thickBot="1" x14ac:dyDescent="0.2">
      <c r="B2" s="39" t="s">
        <v>4</v>
      </c>
    </row>
    <row r="3" spans="2:10" ht="30" customHeight="1" thickBot="1" x14ac:dyDescent="0.2">
      <c r="B3" s="71" t="s">
        <v>84</v>
      </c>
      <c r="C3" s="73"/>
      <c r="D3" s="74" t="s">
        <v>57</v>
      </c>
      <c r="E3" s="72"/>
      <c r="F3" s="72"/>
      <c r="G3" s="72"/>
      <c r="H3" s="72"/>
      <c r="I3" s="72"/>
      <c r="J3" s="73"/>
    </row>
    <row r="4" spans="2:10" ht="30" customHeight="1" x14ac:dyDescent="0.15">
      <c r="B4" s="75" t="s">
        <v>5</v>
      </c>
      <c r="C4" s="75" t="s">
        <v>6</v>
      </c>
      <c r="D4" s="4" t="s">
        <v>85</v>
      </c>
      <c r="E4" s="5"/>
      <c r="F4" s="5" t="s">
        <v>86</v>
      </c>
      <c r="G4" s="6"/>
      <c r="H4" s="5" t="s">
        <v>88</v>
      </c>
      <c r="I4" s="6"/>
      <c r="J4" s="7" t="s">
        <v>87</v>
      </c>
    </row>
    <row r="5" spans="2:10" ht="16.5" thickBot="1" x14ac:dyDescent="0.2">
      <c r="B5" s="76"/>
      <c r="C5" s="76"/>
      <c r="D5" s="8" t="s">
        <v>58</v>
      </c>
      <c r="E5" s="9"/>
      <c r="F5" s="9" t="s">
        <v>63</v>
      </c>
      <c r="G5" s="10"/>
      <c r="H5" s="10" t="s">
        <v>63</v>
      </c>
      <c r="I5" s="10"/>
      <c r="J5" s="11" t="s">
        <v>89</v>
      </c>
    </row>
    <row r="6" spans="2:10" ht="30" customHeight="1" x14ac:dyDescent="0.15">
      <c r="B6" s="16" t="s">
        <v>146</v>
      </c>
      <c r="C6" s="16" t="s">
        <v>144</v>
      </c>
      <c r="D6" s="18">
        <v>1.8</v>
      </c>
      <c r="E6" s="19" t="s">
        <v>1</v>
      </c>
      <c r="F6" s="19">
        <f>1.47</f>
        <v>1.47</v>
      </c>
      <c r="G6" s="19" t="s">
        <v>1</v>
      </c>
      <c r="H6" s="19">
        <v>1</v>
      </c>
      <c r="I6" s="19" t="s">
        <v>2</v>
      </c>
      <c r="J6" s="20">
        <f>D6*F6*H6</f>
        <v>2.6459999999999999</v>
      </c>
    </row>
    <row r="7" spans="2:10" ht="30" customHeight="1" x14ac:dyDescent="0.15">
      <c r="B7" s="27" t="s">
        <v>145</v>
      </c>
      <c r="C7" s="27" t="s">
        <v>144</v>
      </c>
      <c r="D7" s="29">
        <v>1.8</v>
      </c>
      <c r="E7" s="24" t="s">
        <v>1</v>
      </c>
      <c r="F7" s="24">
        <v>1.47</v>
      </c>
      <c r="G7" s="24" t="s">
        <v>1</v>
      </c>
      <c r="H7" s="24">
        <v>1</v>
      </c>
      <c r="I7" s="24" t="s">
        <v>2</v>
      </c>
      <c r="J7" s="30">
        <f>D7*F7*H7</f>
        <v>2.6459999999999999</v>
      </c>
    </row>
    <row r="8" spans="2:10" ht="30" customHeight="1" x14ac:dyDescent="0.15">
      <c r="B8" s="27" t="s">
        <v>147</v>
      </c>
      <c r="C8" s="27" t="s">
        <v>144</v>
      </c>
      <c r="D8" s="29">
        <v>1.8</v>
      </c>
      <c r="E8" s="24" t="s">
        <v>1</v>
      </c>
      <c r="F8" s="24">
        <f>2.955+2.01+3.9</f>
        <v>8.8650000000000002</v>
      </c>
      <c r="G8" s="24" t="s">
        <v>1</v>
      </c>
      <c r="H8" s="24">
        <v>1</v>
      </c>
      <c r="I8" s="24" t="s">
        <v>2</v>
      </c>
      <c r="J8" s="30">
        <f t="shared" ref="J8:J9" si="0">D8*F8*H8</f>
        <v>15.957000000000001</v>
      </c>
    </row>
    <row r="9" spans="2:10" ht="30" customHeight="1" x14ac:dyDescent="0.15">
      <c r="B9" s="27" t="s">
        <v>148</v>
      </c>
      <c r="C9" s="27" t="s">
        <v>144</v>
      </c>
      <c r="D9" s="29">
        <v>1.8</v>
      </c>
      <c r="E9" s="24" t="s">
        <v>1</v>
      </c>
      <c r="F9" s="24">
        <f>2.955+2.01+3.9</f>
        <v>8.8650000000000002</v>
      </c>
      <c r="G9" s="24" t="s">
        <v>1</v>
      </c>
      <c r="H9" s="24">
        <v>0.7</v>
      </c>
      <c r="I9" s="24" t="s">
        <v>2</v>
      </c>
      <c r="J9" s="30">
        <f t="shared" si="0"/>
        <v>11.1699</v>
      </c>
    </row>
    <row r="10" spans="2:10" ht="30" customHeight="1" x14ac:dyDescent="0.15">
      <c r="B10" s="27"/>
      <c r="C10" s="27"/>
      <c r="D10" s="29"/>
      <c r="E10" s="24" t="s">
        <v>1</v>
      </c>
      <c r="F10" s="24"/>
      <c r="G10" s="24" t="s">
        <v>1</v>
      </c>
      <c r="H10" s="24"/>
      <c r="I10" s="24" t="s">
        <v>2</v>
      </c>
      <c r="J10" s="30"/>
    </row>
    <row r="11" spans="2:10" ht="30" customHeight="1" x14ac:dyDescent="0.15">
      <c r="B11" s="27"/>
      <c r="C11" s="27"/>
      <c r="D11" s="29"/>
      <c r="E11" s="24" t="s">
        <v>1</v>
      </c>
      <c r="F11" s="24"/>
      <c r="G11" s="24" t="s">
        <v>1</v>
      </c>
      <c r="H11" s="24"/>
      <c r="I11" s="24" t="s">
        <v>2</v>
      </c>
      <c r="J11" s="30"/>
    </row>
    <row r="12" spans="2:10" ht="30" customHeight="1" x14ac:dyDescent="0.15">
      <c r="B12" s="27"/>
      <c r="C12" s="27"/>
      <c r="D12" s="29"/>
      <c r="E12" s="24" t="s">
        <v>1</v>
      </c>
      <c r="F12" s="24"/>
      <c r="G12" s="24" t="s">
        <v>1</v>
      </c>
      <c r="H12" s="24"/>
      <c r="I12" s="24" t="s">
        <v>2</v>
      </c>
      <c r="J12" s="30"/>
    </row>
    <row r="13" spans="2:10" ht="30" customHeight="1" x14ac:dyDescent="0.15">
      <c r="B13" s="27"/>
      <c r="C13" s="27"/>
      <c r="D13" s="29"/>
      <c r="E13" s="24" t="s">
        <v>1</v>
      </c>
      <c r="F13" s="24"/>
      <c r="G13" s="24" t="s">
        <v>1</v>
      </c>
      <c r="H13" s="24"/>
      <c r="I13" s="24" t="s">
        <v>2</v>
      </c>
      <c r="J13" s="30"/>
    </row>
    <row r="14" spans="2:10" ht="30" customHeight="1" x14ac:dyDescent="0.15">
      <c r="B14" s="27"/>
      <c r="C14" s="27"/>
      <c r="D14" s="29"/>
      <c r="E14" s="24" t="s">
        <v>1</v>
      </c>
      <c r="F14" s="24"/>
      <c r="G14" s="24" t="s">
        <v>1</v>
      </c>
      <c r="H14" s="24"/>
      <c r="I14" s="24" t="s">
        <v>2</v>
      </c>
      <c r="J14" s="30"/>
    </row>
    <row r="15" spans="2:10" ht="30" customHeight="1" x14ac:dyDescent="0.15">
      <c r="B15" s="27"/>
      <c r="C15" s="27"/>
      <c r="D15" s="29"/>
      <c r="E15" s="24" t="s">
        <v>1</v>
      </c>
      <c r="F15" s="24"/>
      <c r="G15" s="24" t="s">
        <v>1</v>
      </c>
      <c r="H15" s="24"/>
      <c r="I15" s="24" t="s">
        <v>2</v>
      </c>
      <c r="J15" s="30"/>
    </row>
    <row r="16" spans="2:10" ht="30" customHeight="1" x14ac:dyDescent="0.15">
      <c r="B16" s="27"/>
      <c r="C16" s="27"/>
      <c r="D16" s="29"/>
      <c r="E16" s="24" t="s">
        <v>1</v>
      </c>
      <c r="F16" s="24"/>
      <c r="G16" s="24" t="s">
        <v>1</v>
      </c>
      <c r="H16" s="24"/>
      <c r="I16" s="24" t="s">
        <v>2</v>
      </c>
      <c r="J16" s="30"/>
    </row>
    <row r="17" spans="2:10" ht="30" customHeight="1" x14ac:dyDescent="0.15">
      <c r="B17" s="27"/>
      <c r="C17" s="27"/>
      <c r="D17" s="29"/>
      <c r="E17" s="24" t="s">
        <v>1</v>
      </c>
      <c r="F17" s="24"/>
      <c r="G17" s="24" t="s">
        <v>1</v>
      </c>
      <c r="H17" s="24"/>
      <c r="I17" s="24" t="s">
        <v>2</v>
      </c>
      <c r="J17" s="30"/>
    </row>
    <row r="18" spans="2:10" ht="30" customHeight="1" thickBot="1" x14ac:dyDescent="0.2">
      <c r="B18" s="31"/>
      <c r="C18" s="31"/>
      <c r="D18" s="33"/>
      <c r="E18" s="34" t="s">
        <v>1</v>
      </c>
      <c r="F18" s="34"/>
      <c r="G18" s="34" t="s">
        <v>1</v>
      </c>
      <c r="H18" s="34"/>
      <c r="I18" s="34" t="s">
        <v>2</v>
      </c>
      <c r="J18" s="35"/>
    </row>
    <row r="19" spans="2:10" ht="16.5" thickBot="1" x14ac:dyDescent="0.2"/>
    <row r="20" spans="2:10" ht="16.5" thickBot="1" x14ac:dyDescent="0.2">
      <c r="H20" s="13" t="s">
        <v>91</v>
      </c>
      <c r="J20" s="36">
        <f>SUM(J6:J9)</f>
        <v>32.418900000000001</v>
      </c>
    </row>
  </sheetData>
  <mergeCells count="4">
    <mergeCell ref="B4:B5"/>
    <mergeCell ref="B3:C3"/>
    <mergeCell ref="C4:C5"/>
    <mergeCell ref="D3:J3"/>
  </mergeCells>
  <phoneticPr fontId="2"/>
  <pageMargins left="0.25" right="0.25" top="0.75" bottom="0.75" header="0.3" footer="0.3"/>
  <pageSetup paperSize="9" scale="9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0" zoomScaleNormal="110" workbookViewId="0">
      <selection activeCell="B16" sqref="B16"/>
    </sheetView>
  </sheetViews>
  <sheetFormatPr defaultRowHeight="18.75" x14ac:dyDescent="0.45"/>
  <cols>
    <col min="1" max="1" width="5.5" style="52" bestFit="1" customWidth="1"/>
    <col min="2" max="2" width="29.875" style="52" bestFit="1" customWidth="1"/>
    <col min="3" max="3" width="15.75" style="52" bestFit="1" customWidth="1"/>
    <col min="4" max="5" width="14.875" style="52" bestFit="1" customWidth="1"/>
    <col min="6" max="16384" width="9" style="52"/>
  </cols>
  <sheetData>
    <row r="1" spans="1:5" ht="20.25" x14ac:dyDescent="0.45">
      <c r="A1" s="51" t="s">
        <v>168</v>
      </c>
      <c r="B1" s="51" t="s">
        <v>169</v>
      </c>
      <c r="C1" s="51" t="s">
        <v>170</v>
      </c>
      <c r="D1" s="51" t="s">
        <v>171</v>
      </c>
      <c r="E1" s="51" t="s">
        <v>172</v>
      </c>
    </row>
    <row r="2" spans="1:5" x14ac:dyDescent="0.45">
      <c r="A2" s="53">
        <f ca="1">OFFSET(断面構成詳細!$B$5,13*(ROW()-ROW($A$2)),0)</f>
        <v>1</v>
      </c>
      <c r="B2" s="53" t="str">
        <f ca="1">IF(OFFSET(断面構成詳細!$B$5,13*(ROW()-ROW($A$2))+1,0)&lt;&gt;"",OFFSET(断面構成詳細!$B$5,13*(ROW()-ROW($A$2))+1,0),"")</f>
        <v>土壁（無断熱）＋板張り</v>
      </c>
      <c r="C2" s="53">
        <f ca="1">IF(OFFSET(断面構成詳細!$B$5,13*(ROW()-ROW($A$2))+2,0)&lt;&gt;"",ROUND(OFFSET(断面構成詳細!$B$5,13*(ROW()-ROW($A$2))+2,0),3),"")</f>
        <v>2.726</v>
      </c>
      <c r="D2" s="53">
        <f ca="1">IF(OFFSET(断面構成詳細!$B$5,13*(ROW()-ROW($A$2))+11,4)&lt;&gt;"",ROUND(OFFSET(断面構成詳細!$B$5,13*(ROW()-ROW($A$2))+11,4),3),"")</f>
        <v>3.0419999999999998</v>
      </c>
      <c r="E2" s="53">
        <f ca="1">IF(OFFSET(断面構成詳細!$B$5,13*(ROW()-ROW($A$2))+11,9)&lt;&gt;"",ROUND(OFFSET(断面構成詳細!$B$5,13*(ROW()-ROW($A$2))+11,9),3),"")</f>
        <v>1.1830000000000001</v>
      </c>
    </row>
    <row r="3" spans="1:5" x14ac:dyDescent="0.45">
      <c r="A3" s="53">
        <f ca="1">OFFSET(断面構成詳細!$B$5,13*(ROW()-ROW($A$2)),0)</f>
        <v>2</v>
      </c>
      <c r="B3" s="53" t="str">
        <f ca="1">IF(OFFSET(断面構成詳細!$B$5,13*(ROW()-ROW($A$2))+1,0)&lt;&gt;"",OFFSET(断面構成詳細!$B$5,13*(ROW()-ROW($A$2))+1,0),"")</f>
        <v>土壁（無断熱）</v>
      </c>
      <c r="C3" s="53">
        <f ca="1">IF(OFFSET(断面構成詳細!$B$5,13*(ROW()-ROW($A$2))+2,0)&lt;&gt;"",ROUND(OFFSET(断面構成詳細!$B$5,13*(ROW()-ROW($A$2))+2,0),3),"")</f>
        <v>3.4279999999999999</v>
      </c>
      <c r="D3" s="53">
        <f ca="1">IF(OFFSET(断面構成詳細!$B$5,13*(ROW()-ROW($A$2))+11,4)&lt;&gt;"",ROUND(OFFSET(断面構成詳細!$B$5,13*(ROW()-ROW($A$2))+11,4),3),"")</f>
        <v>3.8660000000000001</v>
      </c>
      <c r="E3" s="53">
        <f ca="1">IF(OFFSET(断面構成詳細!$B$5,13*(ROW()-ROW($A$2))+11,9)&lt;&gt;"",ROUND(OFFSET(断面構成詳細!$B$5,13*(ROW()-ROW($A$2))+11,9),3),"")</f>
        <v>1.29</v>
      </c>
    </row>
    <row r="4" spans="1:5" x14ac:dyDescent="0.45">
      <c r="A4" s="53">
        <f ca="1">OFFSET(断面構成詳細!$B$5,13*(ROW()-ROW($A$2)),0)</f>
        <v>3</v>
      </c>
      <c r="B4" s="53" t="str">
        <f ca="1">IF(OFFSET(断面構成詳細!$B$5,13*(ROW()-ROW($A$2))+1,0)&lt;&gt;"",OFFSET(断面構成詳細!$B$5,13*(ROW()-ROW($A$2))+1,0),"")</f>
        <v>土壁（無断熱）（戸境壁）</v>
      </c>
      <c r="C4" s="53">
        <f ca="1">IF(OFFSET(断面構成詳細!$B$5,13*(ROW()-ROW($A$2))+2,0)&lt;&gt;"",ROUND(OFFSET(断面構成詳細!$B$5,13*(ROW()-ROW($A$2))+2,0),3),"")</f>
        <v>2.726</v>
      </c>
      <c r="D4" s="53">
        <f ca="1">IF(OFFSET(断面構成詳細!$B$5,13*(ROW()-ROW($A$2))+11,4)&lt;&gt;"",ROUND(OFFSET(断面構成詳細!$B$5,13*(ROW()-ROW($A$2))+11,4),3),"")</f>
        <v>3.0419999999999998</v>
      </c>
      <c r="E4" s="53">
        <f ca="1">IF(OFFSET(断面構成詳細!$B$5,13*(ROW()-ROW($A$2))+11,9)&lt;&gt;"",ROUND(OFFSET(断面構成詳細!$B$5,13*(ROW()-ROW($A$2))+11,9),3),"")</f>
        <v>1.1830000000000001</v>
      </c>
    </row>
    <row r="5" spans="1:5" x14ac:dyDescent="0.45">
      <c r="A5" s="53">
        <f ca="1">OFFSET(断面構成詳細!$B$5,13*(ROW()-ROW($A$2)),0)</f>
        <v>4</v>
      </c>
      <c r="B5" s="53" t="str">
        <f ca="1">IF(OFFSET(断面構成詳細!$B$5,13*(ROW()-ROW($A$2))+1,0)&lt;&gt;"",OFFSET(断面構成詳細!$B$5,13*(ROW()-ROW($A$2))+1,0),"")</f>
        <v>土壁（無断熱）（床下）</v>
      </c>
      <c r="C5" s="53">
        <f ca="1">IF(OFFSET(断面構成詳細!$B$5,13*(ROW()-ROW($A$2))+2,0)&lt;&gt;"",ROUND(OFFSET(断面構成詳細!$B$5,13*(ROW()-ROW($A$2))+2,0),3),"")</f>
        <v>2.726</v>
      </c>
      <c r="D5" s="53">
        <f ca="1">IF(OFFSET(断面構成詳細!$B$5,13*(ROW()-ROW($A$2))+11,4)&lt;&gt;"",ROUND(OFFSET(断面構成詳細!$B$5,13*(ROW()-ROW($A$2))+11,4),3),"")</f>
        <v>3.0419999999999998</v>
      </c>
      <c r="E5" s="53">
        <f ca="1">IF(OFFSET(断面構成詳細!$B$5,13*(ROW()-ROW($A$2))+11,9)&lt;&gt;"",ROUND(OFFSET(断面構成詳細!$B$5,13*(ROW()-ROW($A$2))+11,9),3),"")</f>
        <v>1.1830000000000001</v>
      </c>
    </row>
    <row r="6" spans="1:5" x14ac:dyDescent="0.45">
      <c r="A6" s="53">
        <f ca="1">OFFSET(断面構成詳細!$B$5,13*(ROW()-ROW($A$2)),0)</f>
        <v>5</v>
      </c>
      <c r="B6" s="53" t="str">
        <f ca="1">IF(OFFSET(断面構成詳細!$B$5,13*(ROW()-ROW($A$2))+1,0)&lt;&gt;"",OFFSET(断面構成詳細!$B$5,13*(ROW()-ROW($A$2))+1,0),"")</f>
        <v>板張り（床下）</v>
      </c>
      <c r="C6" s="53">
        <f ca="1">IF(OFFSET(断面構成詳細!$B$5,13*(ROW()-ROW($A$2))+2,0)&lt;&gt;"",ROUND(OFFSET(断面構成詳細!$B$5,13*(ROW()-ROW($A$2))+2,0),3),"")</f>
        <v>3.39</v>
      </c>
      <c r="D6" s="53">
        <f ca="1">IF(OFFSET(断面構成詳細!$B$5,13*(ROW()-ROW($A$2))+11,4)&lt;&gt;"",ROUND(OFFSET(断面構成詳細!$B$5,13*(ROW()-ROW($A$2))+11,4),3),"")</f>
        <v>3.39</v>
      </c>
      <c r="E6" s="53">
        <f ca="1">IF(OFFSET(断面構成詳細!$B$5,13*(ROW()-ROW($A$2))+11,9)&lt;&gt;"",ROUND(OFFSET(断面構成詳細!$B$5,13*(ROW()-ROW($A$2))+11,9),3),"")</f>
        <v>3.39</v>
      </c>
    </row>
    <row r="7" spans="1:5" x14ac:dyDescent="0.45">
      <c r="A7" s="53">
        <f ca="1">OFFSET(断面構成詳細!$B$5,13*(ROW()-ROW($A$2)),0)</f>
        <v>6</v>
      </c>
      <c r="B7" s="53" t="str">
        <f ca="1">IF(OFFSET(断面構成詳細!$B$5,13*(ROW()-ROW($A$2))+1,0)&lt;&gt;"",OFFSET(断面構成詳細!$B$5,13*(ROW()-ROW($A$2))+1,0),"")</f>
        <v>土壁（無断熱）＋下見板張り</v>
      </c>
      <c r="C7" s="53">
        <f ca="1">IF(OFFSET(断面構成詳細!$B$5,13*(ROW()-ROW($A$2))+2,0)&lt;&gt;"",ROUND(OFFSET(断面構成詳細!$B$5,13*(ROW()-ROW($A$2))+2,0),3),"")</f>
        <v>3.3450000000000002</v>
      </c>
      <c r="D7" s="53">
        <f ca="1">IF(OFFSET(断面構成詳細!$B$5,13*(ROW()-ROW($A$2))+11,4)&lt;&gt;"",ROUND(OFFSET(断面構成詳細!$B$5,13*(ROW()-ROW($A$2))+11,4),3),"")</f>
        <v>3.645</v>
      </c>
      <c r="E7" s="53">
        <f ca="1">IF(OFFSET(断面構成詳細!$B$5,13*(ROW()-ROW($A$2))+11,9)&lt;&gt;"",ROUND(OFFSET(断面構成詳細!$B$5,13*(ROW()-ROW($A$2))+11,9),3),"")</f>
        <v>1.8779999999999999</v>
      </c>
    </row>
    <row r="8" spans="1:5" x14ac:dyDescent="0.45">
      <c r="A8" s="53">
        <f ca="1">OFFSET(断面構成詳細!$B$5,13*(ROW()-ROW($A$2)),0)</f>
        <v>7</v>
      </c>
      <c r="B8" s="53" t="str">
        <f ca="1">IF(OFFSET(断面構成詳細!$B$5,13*(ROW()-ROW($A$2))+1,0)&lt;&gt;"",OFFSET(断面構成詳細!$B$5,13*(ROW()-ROW($A$2))+1,0),"")</f>
        <v>戸袋</v>
      </c>
      <c r="C8" s="53">
        <f ca="1">IF(OFFSET(断面構成詳細!$B$5,13*(ROW()-ROW($A$2))+2,0)&lt;&gt;"",ROUND(OFFSET(断面構成詳細!$B$5,13*(ROW()-ROW($A$2))+2,0),3),"")</f>
        <v>2.899</v>
      </c>
      <c r="D8" s="53">
        <f ca="1">IF(OFFSET(断面構成詳細!$B$5,13*(ROW()-ROW($A$2))+11,4)&lt;&gt;"",ROUND(OFFSET(断面構成詳細!$B$5,13*(ROW()-ROW($A$2))+11,4),3),"")</f>
        <v>2.899</v>
      </c>
      <c r="E8" s="53" t="str">
        <f ca="1">IF(OFFSET(断面構成詳細!$B$5,13*(ROW()-ROW($A$2))+11,9)&lt;&gt;"",ROUND(OFFSET(断面構成詳細!$B$5,13*(ROW()-ROW($A$2))+11,9),3),"")</f>
        <v/>
      </c>
    </row>
    <row r="9" spans="1:5" x14ac:dyDescent="0.45">
      <c r="A9" s="53">
        <f ca="1">OFFSET(断面構成詳細!$B$5,13*(ROW()-ROW($A$2)),0)</f>
        <v>8</v>
      </c>
      <c r="B9" s="53" t="str">
        <f ca="1">IF(OFFSET(断面構成詳細!$B$5,13*(ROW()-ROW($A$2))+1,0)&lt;&gt;"",OFFSET(断面構成詳細!$B$5,13*(ROW()-ROW($A$2))+1,0),"")</f>
        <v>床板張り（無断熱）（縁側下）</v>
      </c>
      <c r="C9" s="53">
        <f ca="1">IF(OFFSET(断面構成詳細!$B$5,13*(ROW()-ROW($A$2))+2,0)&lt;&gt;"",ROUND(OFFSET(断面構成詳細!$B$5,13*(ROW()-ROW($A$2))+2,0),3),"")</f>
        <v>3.1749999999999998</v>
      </c>
      <c r="D9" s="53">
        <f ca="1">IF(OFFSET(断面構成詳細!$B$5,13*(ROW()-ROW($A$2))+11,4)&lt;&gt;"",ROUND(OFFSET(断面構成詳細!$B$5,13*(ROW()-ROW($A$2))+11,4),3),"")</f>
        <v>3.1749999999999998</v>
      </c>
      <c r="E9" s="53" t="str">
        <f ca="1">IF(OFFSET(断面構成詳細!$B$5,13*(ROW()-ROW($A$2))+11,9)&lt;&gt;"",ROUND(OFFSET(断面構成詳細!$B$5,13*(ROW()-ROW($A$2))+11,9),3),"")</f>
        <v/>
      </c>
    </row>
    <row r="10" spans="1:5" x14ac:dyDescent="0.45">
      <c r="A10" s="53">
        <f ca="1">OFFSET(断面構成詳細!$B$5,13*(ROW()-ROW($A$2)),0)</f>
        <v>9</v>
      </c>
      <c r="B10" s="53" t="str">
        <f ca="1">IF(OFFSET(断面構成詳細!$B$5,13*(ROW()-ROW($A$2))+1,0)&lt;&gt;"",OFFSET(断面構成詳細!$B$5,13*(ROW()-ROW($A$2))+1,0),"")</f>
        <v>床板張り（無断熱）（床下）</v>
      </c>
      <c r="C10" s="53">
        <f ca="1">IF(OFFSET(断面構成詳細!$B$5,13*(ROW()-ROW($A$2))+2,0)&lt;&gt;"",ROUND(OFFSET(断面構成詳細!$B$5,13*(ROW()-ROW($A$2))+2,0),3),"")</f>
        <v>2.3530000000000002</v>
      </c>
      <c r="D10" s="53">
        <f ca="1">IF(OFFSET(断面構成詳細!$B$5,13*(ROW()-ROW($A$2))+11,4)&lt;&gt;"",ROUND(OFFSET(断面構成詳細!$B$5,13*(ROW()-ROW($A$2))+11,4),3),"")</f>
        <v>2.3530000000000002</v>
      </c>
      <c r="E10" s="53" t="str">
        <f ca="1">IF(OFFSET(断面構成詳細!$B$5,13*(ROW()-ROW($A$2))+11,9)&lt;&gt;"",ROUND(OFFSET(断面構成詳細!$B$5,13*(ROW()-ROW($A$2))+11,9),3),"")</f>
        <v/>
      </c>
    </row>
    <row r="11" spans="1:5" x14ac:dyDescent="0.45">
      <c r="A11" s="53">
        <f ca="1">OFFSET(断面構成詳細!$B$5,13*(ROW()-ROW($A$2)),0)</f>
        <v>10</v>
      </c>
      <c r="B11" s="53" t="str">
        <f ca="1">IF(OFFSET(断面構成詳細!$B$5,13*(ROW()-ROW($A$2))+1,0)&lt;&gt;"",OFFSET(断面構成詳細!$B$5,13*(ROW()-ROW($A$2))+1,0),"")</f>
        <v>床畳（無断熱）</v>
      </c>
      <c r="C11" s="53">
        <f ca="1">IF(OFFSET(断面構成詳細!$B$5,13*(ROW()-ROW($A$2))+2,0)&lt;&gt;"",ROUND(OFFSET(断面構成詳細!$B$5,13*(ROW()-ROW($A$2))+2,0),3),"")</f>
        <v>1.274</v>
      </c>
      <c r="D11" s="53">
        <f ca="1">IF(OFFSET(断面構成詳細!$B$5,13*(ROW()-ROW($A$2))+11,4)&lt;&gt;"",ROUND(OFFSET(断面構成詳細!$B$5,13*(ROW()-ROW($A$2))+11,4),3),"")</f>
        <v>1.274</v>
      </c>
      <c r="E11" s="53" t="str">
        <f ca="1">IF(OFFSET(断面構成詳細!$B$5,13*(ROW()-ROW($A$2))+11,9)&lt;&gt;"",ROUND(OFFSET(断面構成詳細!$B$5,13*(ROW()-ROW($A$2))+11,9),3),"")</f>
        <v/>
      </c>
    </row>
    <row r="12" spans="1:5" x14ac:dyDescent="0.45">
      <c r="A12" s="53">
        <f ca="1">OFFSET(断面構成詳細!$B$5,13*(ROW()-ROW($A$2)),0)</f>
        <v>11</v>
      </c>
      <c r="B12" s="53" t="str">
        <f ca="1">IF(OFFSET(断面構成詳細!$B$5,13*(ROW()-ROW($A$2))+1,0)&lt;&gt;"",OFFSET(断面構成詳細!$B$5,13*(ROW()-ROW($A$2))+1,0),"")</f>
        <v>天井板張り（無断熱）</v>
      </c>
      <c r="C12" s="53">
        <f ca="1">IF(OFFSET(断面構成詳細!$B$5,13*(ROW()-ROW($A$2))+2,0)&lt;&gt;"",ROUND(OFFSET(断面構成詳細!$B$5,13*(ROW()-ROW($A$2))+2,0),3),"")</f>
        <v>3.9220000000000002</v>
      </c>
      <c r="D12" s="53">
        <f ca="1">IF(OFFSET(断面構成詳細!$B$5,13*(ROW()-ROW($A$2))+11,4)&lt;&gt;"",ROUND(OFFSET(断面構成詳細!$B$5,13*(ROW()-ROW($A$2))+11,4),3),"")</f>
        <v>3.9220000000000002</v>
      </c>
      <c r="E12" s="53" t="str">
        <f ca="1">IF(OFFSET(断面構成詳細!$B$5,13*(ROW()-ROW($A$2))+11,9)&lt;&gt;"",ROUND(OFFSET(断面構成詳細!$B$5,13*(ROW()-ROW($A$2))+11,9),3),"")</f>
        <v/>
      </c>
    </row>
    <row r="13" spans="1:5" x14ac:dyDescent="0.45">
      <c r="A13" s="53">
        <f ca="1">OFFSET(断面構成詳細!$B$5,13*(ROW()-ROW($A$2)),0)</f>
        <v>12</v>
      </c>
      <c r="B13" s="53" t="str">
        <f ca="1">IF(OFFSET(断面構成詳細!$B$5,13*(ROW()-ROW($A$2))+1,0)&lt;&gt;"",OFFSET(断面構成詳細!$B$5,13*(ROW()-ROW($A$2))+1,0),"")</f>
        <v/>
      </c>
      <c r="C13" s="53" t="str">
        <f ca="1">IF(OFFSET(断面構成詳細!$B$5,13*(ROW()-ROW($A$2))+2,0)&lt;&gt;"",ROUND(OFFSET(断面構成詳細!$B$5,13*(ROW()-ROW($A$2))+2,0),3),"")</f>
        <v/>
      </c>
      <c r="D13" s="53" t="str">
        <f ca="1">IF(OFFSET(断面構成詳細!$B$5,13*(ROW()-ROW($A$2))+11,4)&lt;&gt;"",ROUND(OFFSET(断面構成詳細!$B$5,13*(ROW()-ROW($A$2))+11,4),3),"")</f>
        <v/>
      </c>
      <c r="E13" s="53" t="str">
        <f ca="1">IF(OFFSET(断面構成詳細!$B$5,13*(ROW()-ROW($A$2))+11,9)&lt;&gt;"",ROUND(OFFSET(断面構成詳細!$B$5,13*(ROW()-ROW($A$2))+11,9),3),"")</f>
        <v/>
      </c>
    </row>
    <row r="14" spans="1:5" x14ac:dyDescent="0.45">
      <c r="A14" s="53">
        <f ca="1">OFFSET(断面構成詳細!$B$5,13*(ROW()-ROW($A$2)),0)</f>
        <v>13</v>
      </c>
      <c r="B14" s="53" t="str">
        <f ca="1">IF(OFFSET(断面構成詳細!$B$5,13*(ROW()-ROW($A$2))+1,0)&lt;&gt;"",OFFSET(断面構成詳細!$B$5,13*(ROW()-ROW($A$2))+1,0),"")</f>
        <v/>
      </c>
      <c r="C14" s="53" t="str">
        <f ca="1">IF(OFFSET(断面構成詳細!$B$5,13*(ROW()-ROW($A$2))+2,0)&lt;&gt;"",ROUND(OFFSET(断面構成詳細!$B$5,13*(ROW()-ROW($A$2))+2,0),3),"")</f>
        <v/>
      </c>
      <c r="D14" s="53" t="str">
        <f ca="1">IF(OFFSET(断面構成詳細!$B$5,13*(ROW()-ROW($A$2))+11,4)&lt;&gt;"",ROUND(OFFSET(断面構成詳細!$B$5,13*(ROW()-ROW($A$2))+11,4),3),"")</f>
        <v/>
      </c>
      <c r="E14" s="53" t="str">
        <f ca="1">IF(OFFSET(断面構成詳細!$B$5,13*(ROW()-ROW($A$2))+11,9)&lt;&gt;"",ROUND(OFFSET(断面構成詳細!$B$5,13*(ROW()-ROW($A$2))+11,9),3),"")</f>
        <v/>
      </c>
    </row>
    <row r="15" spans="1:5" x14ac:dyDescent="0.45">
      <c r="A15" s="53">
        <f ca="1">OFFSET(断面構成詳細!$B$5,13*(ROW()-ROW($A$2)),0)</f>
        <v>14</v>
      </c>
      <c r="B15" s="53" t="str">
        <f ca="1">IF(OFFSET(断面構成詳細!$B$5,13*(ROW()-ROW($A$2))+1,0)&lt;&gt;"",OFFSET(断面構成詳細!$B$5,13*(ROW()-ROW($A$2))+1,0),"")</f>
        <v/>
      </c>
      <c r="C15" s="53" t="str">
        <f ca="1">IF(OFFSET(断面構成詳細!$B$5,13*(ROW()-ROW($A$2))+2,0)&lt;&gt;"",ROUND(OFFSET(断面構成詳細!$B$5,13*(ROW()-ROW($A$2))+2,0),3),"")</f>
        <v/>
      </c>
      <c r="D15" s="53" t="str">
        <f ca="1">IF(OFFSET(断面構成詳細!$B$5,13*(ROW()-ROW($A$2))+11,4)&lt;&gt;"",ROUND(OFFSET(断面構成詳細!$B$5,13*(ROW()-ROW($A$2))+11,4),3),"")</f>
        <v/>
      </c>
      <c r="E15" s="53" t="str">
        <f ca="1">IF(OFFSET(断面構成詳細!$B$5,13*(ROW()-ROW($A$2))+11,9)&lt;&gt;"",ROUND(OFFSET(断面構成詳細!$B$5,13*(ROW()-ROW($A$2))+11,9),3),"")</f>
        <v/>
      </c>
    </row>
    <row r="16" spans="1:5" x14ac:dyDescent="0.45">
      <c r="A16" s="53">
        <f ca="1">OFFSET(断面構成詳細!$B$5,13*(ROW()-ROW($A$2)),0)</f>
        <v>15</v>
      </c>
      <c r="B16" s="53" t="str">
        <f ca="1">IF(OFFSET(断面構成詳細!$B$5,13*(ROW()-ROW($A$2))+1,0)&lt;&gt;"",OFFSET(断面構成詳細!$B$5,13*(ROW()-ROW($A$2))+1,0),"")</f>
        <v/>
      </c>
      <c r="C16" s="53" t="str">
        <f ca="1">IF(OFFSET(断面構成詳細!$B$5,13*(ROW()-ROW($A$2))+2,0)&lt;&gt;"",ROUND(OFFSET(断面構成詳細!$B$5,13*(ROW()-ROW($A$2))+2,0),3),"")</f>
        <v/>
      </c>
      <c r="D16" s="53" t="str">
        <f ca="1">IF(OFFSET(断面構成詳細!$B$5,13*(ROW()-ROW($A$2))+11,4)&lt;&gt;"",ROUND(OFFSET(断面構成詳細!$B$5,13*(ROW()-ROW($A$2))+11,4),3),"")</f>
        <v/>
      </c>
      <c r="E16" s="53" t="str">
        <f ca="1">IF(OFFSET(断面構成詳細!$B$5,13*(ROW()-ROW($A$2))+11,9)&lt;&gt;"",ROUND(OFFSET(断面構成詳細!$B$5,13*(ROW()-ROW($A$2))+11,9),3),"")</f>
        <v/>
      </c>
    </row>
  </sheetData>
  <phoneticPr fontId="2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"/>
  <sheetViews>
    <sheetView view="pageBreakPreview" zoomScale="120" zoomScaleNormal="90" zoomScaleSheetLayoutView="120" workbookViewId="0">
      <pane ySplit="3" topLeftCell="A4" activePane="bottomLeft" state="frozen"/>
      <selection activeCell="H15" sqref="H15"/>
      <selection pane="bottomLeft"/>
    </sheetView>
  </sheetViews>
  <sheetFormatPr defaultColWidth="20.5" defaultRowHeight="18.75" x14ac:dyDescent="0.45"/>
  <cols>
    <col min="1" max="1" width="15.375" style="52" bestFit="1" customWidth="1"/>
    <col min="2" max="2" width="27.875" style="52" bestFit="1" customWidth="1"/>
    <col min="3" max="3" width="1.25" style="52" customWidth="1"/>
    <col min="4" max="4" width="19.125" style="52" bestFit="1" customWidth="1"/>
    <col min="5" max="5" width="1.25" style="52" customWidth="1"/>
    <col min="6" max="6" width="11.25" style="52" bestFit="1" customWidth="1"/>
    <col min="7" max="7" width="9.25" style="52" bestFit="1" customWidth="1"/>
    <col min="8" max="8" width="14.375" style="52" bestFit="1" customWidth="1"/>
    <col min="9" max="9" width="17.75" style="52" bestFit="1" customWidth="1"/>
    <col min="10" max="10" width="1.25" style="52" customWidth="1"/>
    <col min="11" max="11" width="11.25" style="52" bestFit="1" customWidth="1"/>
    <col min="12" max="12" width="9.25" style="52" bestFit="1" customWidth="1"/>
    <col min="13" max="13" width="14.375" style="52" bestFit="1" customWidth="1"/>
    <col min="14" max="14" width="17.75" style="52" bestFit="1" customWidth="1"/>
    <col min="15" max="16379" width="20.5" style="52"/>
    <col min="16380" max="16380" width="20.5" style="52" customWidth="1"/>
    <col min="16381" max="16384" width="20.5" style="52"/>
  </cols>
  <sheetData>
    <row r="1" spans="1:14" x14ac:dyDescent="0.45">
      <c r="F1" s="83" t="s">
        <v>173</v>
      </c>
      <c r="G1" s="84"/>
      <c r="H1" s="84"/>
      <c r="I1" s="84"/>
      <c r="J1" s="54"/>
      <c r="K1" s="83" t="s">
        <v>174</v>
      </c>
      <c r="L1" s="84"/>
      <c r="M1" s="84"/>
      <c r="N1" s="84"/>
    </row>
    <row r="2" spans="1:14" ht="39" x14ac:dyDescent="0.45">
      <c r="F2" s="55" t="s">
        <v>175</v>
      </c>
      <c r="G2" s="56" t="s">
        <v>176</v>
      </c>
      <c r="H2" s="56" t="s">
        <v>177</v>
      </c>
      <c r="I2" s="56" t="s">
        <v>178</v>
      </c>
      <c r="J2" s="57"/>
      <c r="K2" s="55" t="s">
        <v>175</v>
      </c>
      <c r="L2" s="56" t="s">
        <v>176</v>
      </c>
      <c r="M2" s="56" t="s">
        <v>177</v>
      </c>
      <c r="N2" s="56" t="s">
        <v>178</v>
      </c>
    </row>
    <row r="3" spans="1:14" x14ac:dyDescent="0.45">
      <c r="F3" s="55" t="s">
        <v>179</v>
      </c>
      <c r="G3" s="55" t="s">
        <v>179</v>
      </c>
      <c r="H3" s="55" t="s">
        <v>180</v>
      </c>
      <c r="I3" s="55" t="s">
        <v>181</v>
      </c>
      <c r="J3" s="58"/>
      <c r="K3" s="55" t="s">
        <v>179</v>
      </c>
      <c r="L3" s="55" t="s">
        <v>179</v>
      </c>
      <c r="M3" s="55" t="s">
        <v>180</v>
      </c>
      <c r="N3" s="55" t="s">
        <v>181</v>
      </c>
    </row>
    <row r="4" spans="1:14" ht="19.5" customHeight="1" x14ac:dyDescent="0.45"/>
    <row r="5" spans="1:14" ht="19.5" customHeight="1" x14ac:dyDescent="0.45">
      <c r="A5" s="51" t="s">
        <v>168</v>
      </c>
      <c r="B5" s="53">
        <v>1</v>
      </c>
      <c r="D5" s="51" t="s">
        <v>182</v>
      </c>
      <c r="F5" s="59" t="s">
        <v>183</v>
      </c>
      <c r="G5" s="59"/>
      <c r="H5" s="59"/>
      <c r="I5" s="59">
        <v>0.11</v>
      </c>
      <c r="K5" s="59" t="s">
        <v>183</v>
      </c>
      <c r="L5" s="59"/>
      <c r="M5" s="59"/>
      <c r="N5" s="59">
        <v>0.11</v>
      </c>
    </row>
    <row r="6" spans="1:14" ht="19.5" customHeight="1" x14ac:dyDescent="0.45">
      <c r="A6" s="51" t="s">
        <v>169</v>
      </c>
      <c r="B6" s="59" t="s">
        <v>213</v>
      </c>
      <c r="D6" s="51" t="s">
        <v>184</v>
      </c>
      <c r="F6" s="59" t="s">
        <v>185</v>
      </c>
      <c r="G6" s="59">
        <v>7.4999999999999997E-2</v>
      </c>
      <c r="H6" s="59">
        <v>0.69</v>
      </c>
      <c r="I6" s="59">
        <f>G6/H6</f>
        <v>0.10869565217391305</v>
      </c>
      <c r="K6" s="59" t="s">
        <v>186</v>
      </c>
      <c r="L6" s="59">
        <v>7.4999999999999997E-2</v>
      </c>
      <c r="M6" s="59">
        <v>0.12</v>
      </c>
      <c r="N6" s="59">
        <f>L6/M6</f>
        <v>0.625</v>
      </c>
    </row>
    <row r="7" spans="1:14" ht="19.5" customHeight="1" x14ac:dyDescent="0.45">
      <c r="A7" s="51" t="s">
        <v>170</v>
      </c>
      <c r="B7" s="53">
        <f>IF(AND(F13="",K13=""),"",IF(F13&lt;&gt;"",F16*F13)+IF(K13&lt;&gt;"",K16*K13,0))</f>
        <v>2.7263157070849378</v>
      </c>
      <c r="D7" s="51" t="s">
        <v>187</v>
      </c>
      <c r="F7" s="59"/>
      <c r="G7" s="59"/>
      <c r="H7" s="59"/>
      <c r="I7" s="59"/>
      <c r="K7" s="59"/>
      <c r="L7" s="59"/>
      <c r="M7" s="59"/>
      <c r="N7" s="59"/>
    </row>
    <row r="8" spans="1:14" ht="19.5" customHeight="1" x14ac:dyDescent="0.45">
      <c r="D8" s="51" t="s">
        <v>188</v>
      </c>
      <c r="F8" s="59"/>
      <c r="G8" s="59"/>
      <c r="H8" s="59"/>
      <c r="I8" s="59"/>
      <c r="K8" s="59"/>
      <c r="L8" s="59"/>
      <c r="M8" s="59"/>
      <c r="N8" s="59"/>
    </row>
    <row r="9" spans="1:14" ht="19.5" customHeight="1" x14ac:dyDescent="0.45">
      <c r="D9" s="51" t="s">
        <v>189</v>
      </c>
      <c r="F9" s="59"/>
      <c r="G9" s="59"/>
      <c r="H9" s="59"/>
      <c r="I9" s="59"/>
      <c r="K9" s="59"/>
      <c r="L9" s="59"/>
      <c r="M9" s="59"/>
      <c r="N9" s="59"/>
    </row>
    <row r="10" spans="1:14" ht="19.5" customHeight="1" x14ac:dyDescent="0.45">
      <c r="D10" s="51" t="s">
        <v>190</v>
      </c>
      <c r="F10" s="59"/>
      <c r="G10" s="59"/>
      <c r="H10" s="59"/>
      <c r="I10" s="59"/>
      <c r="K10" s="59"/>
      <c r="L10" s="59"/>
      <c r="M10" s="59"/>
      <c r="N10" s="59"/>
    </row>
    <row r="11" spans="1:14" ht="19.5" customHeight="1" x14ac:dyDescent="0.45">
      <c r="D11" s="51" t="s">
        <v>191</v>
      </c>
      <c r="F11" s="59" t="s">
        <v>192</v>
      </c>
      <c r="G11" s="59"/>
      <c r="H11" s="59"/>
      <c r="I11" s="59">
        <v>0.11</v>
      </c>
      <c r="K11" s="59" t="s">
        <v>192</v>
      </c>
      <c r="L11" s="59"/>
      <c r="M11" s="59"/>
      <c r="N11" s="59">
        <v>0.11</v>
      </c>
    </row>
    <row r="12" spans="1:14" ht="19.5" customHeight="1" x14ac:dyDescent="0.45"/>
    <row r="13" spans="1:14" ht="19.5" customHeight="1" x14ac:dyDescent="0.45">
      <c r="D13" s="51" t="s">
        <v>193</v>
      </c>
      <c r="F13" s="80">
        <v>0.83</v>
      </c>
      <c r="G13" s="81"/>
      <c r="H13" s="81"/>
      <c r="I13" s="82"/>
      <c r="K13" s="80">
        <v>0.17</v>
      </c>
      <c r="L13" s="81"/>
      <c r="M13" s="81"/>
      <c r="N13" s="82"/>
    </row>
    <row r="14" spans="1:14" ht="19.5" customHeight="1" x14ac:dyDescent="0.45"/>
    <row r="15" spans="1:14" x14ac:dyDescent="0.45">
      <c r="D15" s="51" t="s">
        <v>194</v>
      </c>
      <c r="F15" s="77">
        <f>SUM(I5:I11)</f>
        <v>0.32869565217391306</v>
      </c>
      <c r="G15" s="78"/>
      <c r="H15" s="78"/>
      <c r="I15" s="79"/>
      <c r="K15" s="77">
        <f>SUM(N5:N11)</f>
        <v>0.84499999999999997</v>
      </c>
      <c r="L15" s="78"/>
      <c r="M15" s="78"/>
      <c r="N15" s="79"/>
    </row>
    <row r="16" spans="1:14" x14ac:dyDescent="0.45">
      <c r="D16" s="51" t="s">
        <v>195</v>
      </c>
      <c r="F16" s="77">
        <f>IF(F15&lt;&gt;0,1/F15,"")</f>
        <v>3.0423280423280423</v>
      </c>
      <c r="G16" s="78"/>
      <c r="H16" s="78"/>
      <c r="I16" s="79"/>
      <c r="K16" s="77">
        <f>IF(K15&lt;&gt;0,1/K15,"")</f>
        <v>1.1834319526627219</v>
      </c>
      <c r="L16" s="78"/>
      <c r="M16" s="78"/>
      <c r="N16" s="79"/>
    </row>
    <row r="18" spans="1:14" x14ac:dyDescent="0.45">
      <c r="A18" s="51" t="s">
        <v>168</v>
      </c>
      <c r="B18" s="53">
        <v>2</v>
      </c>
      <c r="D18" s="51" t="s">
        <v>182</v>
      </c>
      <c r="F18" s="59" t="s">
        <v>183</v>
      </c>
      <c r="G18" s="59"/>
      <c r="H18" s="59"/>
      <c r="I18" s="59">
        <v>0.11</v>
      </c>
      <c r="K18" s="59" t="s">
        <v>183</v>
      </c>
      <c r="L18" s="59"/>
      <c r="M18" s="59"/>
      <c r="N18" s="59">
        <v>0.11</v>
      </c>
    </row>
    <row r="19" spans="1:14" x14ac:dyDescent="0.45">
      <c r="A19" s="51" t="s">
        <v>169</v>
      </c>
      <c r="B19" s="59" t="s">
        <v>196</v>
      </c>
      <c r="D19" s="51" t="s">
        <v>184</v>
      </c>
      <c r="F19" s="59" t="s">
        <v>185</v>
      </c>
      <c r="G19" s="59">
        <v>7.4999999999999997E-2</v>
      </c>
      <c r="H19" s="59">
        <v>0.69</v>
      </c>
      <c r="I19" s="59">
        <f>G19/H19</f>
        <v>0.10869565217391305</v>
      </c>
      <c r="K19" s="59" t="s">
        <v>186</v>
      </c>
      <c r="L19" s="59">
        <v>7.4999999999999997E-2</v>
      </c>
      <c r="M19" s="59">
        <v>0.12</v>
      </c>
      <c r="N19" s="59">
        <f>L19/M19</f>
        <v>0.625</v>
      </c>
    </row>
    <row r="20" spans="1:14" ht="20.25" x14ac:dyDescent="0.45">
      <c r="A20" s="51" t="s">
        <v>170</v>
      </c>
      <c r="B20" s="53">
        <f>IF(AND(F26="",K26=""),"",IF(F26&lt;&gt;"",F29*F26)+IF(K26&lt;&gt;"",K29*K26,0))</f>
        <v>3.4277582000542148</v>
      </c>
      <c r="D20" s="51" t="s">
        <v>187</v>
      </c>
      <c r="F20" s="59"/>
      <c r="G20" s="59"/>
      <c r="H20" s="59"/>
      <c r="I20" s="59"/>
      <c r="K20" s="59"/>
      <c r="L20" s="59"/>
      <c r="M20" s="59"/>
      <c r="N20" s="59"/>
    </row>
    <row r="21" spans="1:14" x14ac:dyDescent="0.45">
      <c r="D21" s="51" t="s">
        <v>188</v>
      </c>
      <c r="F21" s="59"/>
      <c r="G21" s="59"/>
      <c r="H21" s="59"/>
      <c r="I21" s="59"/>
      <c r="K21" s="59"/>
      <c r="L21" s="59"/>
      <c r="M21" s="59"/>
      <c r="N21" s="59"/>
    </row>
    <row r="22" spans="1:14" x14ac:dyDescent="0.45">
      <c r="D22" s="51" t="s">
        <v>189</v>
      </c>
      <c r="F22" s="59"/>
      <c r="G22" s="59"/>
      <c r="H22" s="59"/>
      <c r="I22" s="59"/>
      <c r="K22" s="59"/>
      <c r="L22" s="59"/>
      <c r="M22" s="59"/>
      <c r="N22" s="59"/>
    </row>
    <row r="23" spans="1:14" x14ac:dyDescent="0.45">
      <c r="D23" s="51" t="s">
        <v>190</v>
      </c>
      <c r="F23" s="59"/>
      <c r="G23" s="59"/>
      <c r="H23" s="59"/>
      <c r="I23" s="59"/>
      <c r="K23" s="59"/>
      <c r="L23" s="59"/>
      <c r="M23" s="59"/>
      <c r="N23" s="59"/>
    </row>
    <row r="24" spans="1:14" x14ac:dyDescent="0.45">
      <c r="D24" s="51" t="s">
        <v>191</v>
      </c>
      <c r="F24" s="59" t="s">
        <v>192</v>
      </c>
      <c r="G24" s="59"/>
      <c r="H24" s="59"/>
      <c r="I24" s="59">
        <v>0.04</v>
      </c>
      <c r="K24" s="59" t="s">
        <v>192</v>
      </c>
      <c r="L24" s="59"/>
      <c r="M24" s="59"/>
      <c r="N24" s="59">
        <v>0.04</v>
      </c>
    </row>
    <row r="26" spans="1:14" x14ac:dyDescent="0.45">
      <c r="D26" s="51" t="s">
        <v>193</v>
      </c>
      <c r="F26" s="80">
        <v>0.83</v>
      </c>
      <c r="G26" s="81"/>
      <c r="H26" s="81"/>
      <c r="I26" s="82"/>
      <c r="K26" s="80">
        <v>0.17</v>
      </c>
      <c r="L26" s="81"/>
      <c r="M26" s="81"/>
      <c r="N26" s="82"/>
    </row>
    <row r="28" spans="1:14" x14ac:dyDescent="0.45">
      <c r="D28" s="51" t="s">
        <v>194</v>
      </c>
      <c r="F28" s="77">
        <f>SUM(I18:I24)</f>
        <v>0.25869565217391305</v>
      </c>
      <c r="G28" s="78"/>
      <c r="H28" s="78"/>
      <c r="I28" s="79"/>
      <c r="K28" s="77">
        <f>SUM(N18:N24)</f>
        <v>0.77500000000000002</v>
      </c>
      <c r="L28" s="78"/>
      <c r="M28" s="78"/>
      <c r="N28" s="79"/>
    </row>
    <row r="29" spans="1:14" x14ac:dyDescent="0.45">
      <c r="D29" s="51" t="s">
        <v>195</v>
      </c>
      <c r="F29" s="77">
        <f>IF(F28&lt;&gt;0,1/F28,"")</f>
        <v>3.865546218487395</v>
      </c>
      <c r="G29" s="78"/>
      <c r="H29" s="78"/>
      <c r="I29" s="79"/>
      <c r="K29" s="77">
        <f>IF(K28&lt;&gt;0,1/K28,"")</f>
        <v>1.2903225806451613</v>
      </c>
      <c r="L29" s="78"/>
      <c r="M29" s="78"/>
      <c r="N29" s="79"/>
    </row>
    <row r="31" spans="1:14" x14ac:dyDescent="0.45">
      <c r="A31" s="51" t="s">
        <v>168</v>
      </c>
      <c r="B31" s="53">
        <v>3</v>
      </c>
      <c r="D31" s="51" t="s">
        <v>182</v>
      </c>
      <c r="F31" s="59" t="s">
        <v>183</v>
      </c>
      <c r="G31" s="59"/>
      <c r="H31" s="59"/>
      <c r="I31" s="59">
        <v>0.11</v>
      </c>
      <c r="K31" s="59" t="s">
        <v>183</v>
      </c>
      <c r="L31" s="59"/>
      <c r="M31" s="59"/>
      <c r="N31" s="59">
        <v>0.11</v>
      </c>
    </row>
    <row r="32" spans="1:14" x14ac:dyDescent="0.45">
      <c r="A32" s="51" t="s">
        <v>169</v>
      </c>
      <c r="B32" s="59" t="s">
        <v>197</v>
      </c>
      <c r="D32" s="51" t="s">
        <v>184</v>
      </c>
      <c r="F32" s="59" t="s">
        <v>185</v>
      </c>
      <c r="G32" s="59">
        <v>7.4999999999999997E-2</v>
      </c>
      <c r="H32" s="59">
        <v>0.69</v>
      </c>
      <c r="I32" s="59">
        <f>G32/H32</f>
        <v>0.10869565217391305</v>
      </c>
      <c r="K32" s="59" t="s">
        <v>186</v>
      </c>
      <c r="L32" s="59">
        <v>7.4999999999999997E-2</v>
      </c>
      <c r="M32" s="59">
        <v>0.12</v>
      </c>
      <c r="N32" s="59">
        <f>L32/M32</f>
        <v>0.625</v>
      </c>
    </row>
    <row r="33" spans="1:14" ht="20.25" x14ac:dyDescent="0.45">
      <c r="A33" s="51" t="s">
        <v>170</v>
      </c>
      <c r="B33" s="53">
        <f>IF(AND(F39="",K39=""),"",IF(F39&lt;&gt;"",F42*F39)+IF(K39&lt;&gt;"",K42*K39,0))</f>
        <v>2.7263157070849378</v>
      </c>
      <c r="D33" s="51" t="s">
        <v>187</v>
      </c>
      <c r="F33" s="59"/>
      <c r="G33" s="59"/>
      <c r="H33" s="59"/>
      <c r="I33" s="59"/>
      <c r="K33" s="59"/>
      <c r="L33" s="59"/>
      <c r="M33" s="59"/>
      <c r="N33" s="59"/>
    </row>
    <row r="34" spans="1:14" x14ac:dyDescent="0.45">
      <c r="D34" s="51" t="s">
        <v>188</v>
      </c>
      <c r="F34" s="59"/>
      <c r="G34" s="59"/>
      <c r="H34" s="59"/>
      <c r="I34" s="59"/>
      <c r="K34" s="59"/>
      <c r="L34" s="59"/>
      <c r="M34" s="59"/>
      <c r="N34" s="59"/>
    </row>
    <row r="35" spans="1:14" x14ac:dyDescent="0.45">
      <c r="D35" s="51" t="s">
        <v>189</v>
      </c>
      <c r="F35" s="59"/>
      <c r="G35" s="59"/>
      <c r="H35" s="59"/>
      <c r="I35" s="59"/>
      <c r="K35" s="59"/>
      <c r="L35" s="59"/>
      <c r="M35" s="59"/>
      <c r="N35" s="59"/>
    </row>
    <row r="36" spans="1:14" x14ac:dyDescent="0.45">
      <c r="D36" s="51" t="s">
        <v>190</v>
      </c>
      <c r="F36" s="59"/>
      <c r="G36" s="59"/>
      <c r="H36" s="59"/>
      <c r="I36" s="59"/>
      <c r="K36" s="59"/>
      <c r="L36" s="59"/>
      <c r="M36" s="59"/>
      <c r="N36" s="59"/>
    </row>
    <row r="37" spans="1:14" x14ac:dyDescent="0.45">
      <c r="D37" s="51" t="s">
        <v>191</v>
      </c>
      <c r="F37" s="59" t="s">
        <v>192</v>
      </c>
      <c r="G37" s="59"/>
      <c r="H37" s="59"/>
      <c r="I37" s="59">
        <v>0.11</v>
      </c>
      <c r="K37" s="59" t="s">
        <v>192</v>
      </c>
      <c r="L37" s="59"/>
      <c r="M37" s="59"/>
      <c r="N37" s="59">
        <v>0.11</v>
      </c>
    </row>
    <row r="39" spans="1:14" x14ac:dyDescent="0.45">
      <c r="D39" s="51" t="s">
        <v>193</v>
      </c>
      <c r="F39" s="80">
        <v>0.83</v>
      </c>
      <c r="G39" s="81"/>
      <c r="H39" s="81"/>
      <c r="I39" s="82"/>
      <c r="K39" s="80">
        <v>0.17</v>
      </c>
      <c r="L39" s="81"/>
      <c r="M39" s="81"/>
      <c r="N39" s="82"/>
    </row>
    <row r="41" spans="1:14" x14ac:dyDescent="0.45">
      <c r="D41" s="51" t="s">
        <v>194</v>
      </c>
      <c r="F41" s="77">
        <f>SUM(I31:I37)</f>
        <v>0.32869565217391306</v>
      </c>
      <c r="G41" s="78"/>
      <c r="H41" s="78"/>
      <c r="I41" s="79"/>
      <c r="K41" s="77">
        <f>SUM(N31:N37)</f>
        <v>0.84499999999999997</v>
      </c>
      <c r="L41" s="78"/>
      <c r="M41" s="78"/>
      <c r="N41" s="79"/>
    </row>
    <row r="42" spans="1:14" x14ac:dyDescent="0.45">
      <c r="D42" s="51" t="s">
        <v>195</v>
      </c>
      <c r="F42" s="77">
        <f>IF(F41&lt;&gt;0,1/F41,"")</f>
        <v>3.0423280423280423</v>
      </c>
      <c r="G42" s="78"/>
      <c r="H42" s="78"/>
      <c r="I42" s="79"/>
      <c r="K42" s="77">
        <f>IF(K41&lt;&gt;0,1/K41,"")</f>
        <v>1.1834319526627219</v>
      </c>
      <c r="L42" s="78"/>
      <c r="M42" s="78"/>
      <c r="N42" s="79"/>
    </row>
    <row r="44" spans="1:14" x14ac:dyDescent="0.45">
      <c r="A44" s="51" t="s">
        <v>168</v>
      </c>
      <c r="B44" s="53">
        <v>4</v>
      </c>
      <c r="D44" s="51" t="s">
        <v>182</v>
      </c>
      <c r="F44" s="59" t="s">
        <v>183</v>
      </c>
      <c r="G44" s="59"/>
      <c r="H44" s="59"/>
      <c r="I44" s="59">
        <v>0.11</v>
      </c>
      <c r="K44" s="59" t="s">
        <v>183</v>
      </c>
      <c r="L44" s="59"/>
      <c r="M44" s="59"/>
      <c r="N44" s="59">
        <v>0.11</v>
      </c>
    </row>
    <row r="45" spans="1:14" x14ac:dyDescent="0.45">
      <c r="A45" s="51" t="s">
        <v>169</v>
      </c>
      <c r="B45" s="59" t="s">
        <v>198</v>
      </c>
      <c r="D45" s="51" t="s">
        <v>184</v>
      </c>
      <c r="F45" s="59" t="s">
        <v>185</v>
      </c>
      <c r="G45" s="59">
        <v>7.4999999999999997E-2</v>
      </c>
      <c r="H45" s="59">
        <v>0.69</v>
      </c>
      <c r="I45" s="59">
        <f>G45/H45</f>
        <v>0.10869565217391305</v>
      </c>
      <c r="K45" s="59" t="s">
        <v>186</v>
      </c>
      <c r="L45" s="59">
        <v>7.4999999999999997E-2</v>
      </c>
      <c r="M45" s="59">
        <v>0.12</v>
      </c>
      <c r="N45" s="59">
        <f>L45/M45</f>
        <v>0.625</v>
      </c>
    </row>
    <row r="46" spans="1:14" ht="20.25" x14ac:dyDescent="0.45">
      <c r="A46" s="51" t="s">
        <v>170</v>
      </c>
      <c r="B46" s="53">
        <f>IF(AND(F52="",K52=""),"",IF(F52&lt;&gt;"",F55*F52)+IF(K52&lt;&gt;"",K55*K52,0))</f>
        <v>2.7263157070849378</v>
      </c>
      <c r="D46" s="51" t="s">
        <v>187</v>
      </c>
      <c r="F46" s="59"/>
      <c r="G46" s="59"/>
      <c r="H46" s="59"/>
      <c r="I46" s="59"/>
      <c r="K46" s="59"/>
      <c r="L46" s="59"/>
      <c r="M46" s="59"/>
      <c r="N46" s="59"/>
    </row>
    <row r="47" spans="1:14" x14ac:dyDescent="0.45">
      <c r="D47" s="51" t="s">
        <v>188</v>
      </c>
      <c r="F47" s="59"/>
      <c r="G47" s="59"/>
      <c r="H47" s="59"/>
      <c r="I47" s="59"/>
      <c r="K47" s="59"/>
      <c r="L47" s="59"/>
      <c r="M47" s="59"/>
      <c r="N47" s="59"/>
    </row>
    <row r="48" spans="1:14" x14ac:dyDescent="0.45">
      <c r="D48" s="51" t="s">
        <v>189</v>
      </c>
      <c r="F48" s="59"/>
      <c r="G48" s="59"/>
      <c r="H48" s="59"/>
      <c r="I48" s="59"/>
      <c r="K48" s="59"/>
      <c r="L48" s="59"/>
      <c r="M48" s="59"/>
      <c r="N48" s="59"/>
    </row>
    <row r="49" spans="1:14" x14ac:dyDescent="0.45">
      <c r="D49" s="51" t="s">
        <v>190</v>
      </c>
      <c r="F49" s="59"/>
      <c r="G49" s="59"/>
      <c r="H49" s="59"/>
      <c r="I49" s="59"/>
      <c r="K49" s="59"/>
      <c r="L49" s="59"/>
      <c r="M49" s="59"/>
      <c r="N49" s="59"/>
    </row>
    <row r="50" spans="1:14" x14ac:dyDescent="0.45">
      <c r="D50" s="51" t="s">
        <v>191</v>
      </c>
      <c r="F50" s="59" t="s">
        <v>192</v>
      </c>
      <c r="G50" s="59"/>
      <c r="H50" s="59"/>
      <c r="I50" s="59">
        <v>0.11</v>
      </c>
      <c r="K50" s="59" t="s">
        <v>192</v>
      </c>
      <c r="L50" s="59"/>
      <c r="M50" s="59"/>
      <c r="N50" s="59">
        <v>0.11</v>
      </c>
    </row>
    <row r="52" spans="1:14" x14ac:dyDescent="0.45">
      <c r="D52" s="51" t="s">
        <v>193</v>
      </c>
      <c r="F52" s="80">
        <v>0.83</v>
      </c>
      <c r="G52" s="81"/>
      <c r="H52" s="81"/>
      <c r="I52" s="82"/>
      <c r="K52" s="80">
        <v>0.17</v>
      </c>
      <c r="L52" s="81"/>
      <c r="M52" s="81"/>
      <c r="N52" s="82"/>
    </row>
    <row r="54" spans="1:14" x14ac:dyDescent="0.45">
      <c r="D54" s="51" t="s">
        <v>194</v>
      </c>
      <c r="F54" s="77">
        <f>SUM(I44:I50)</f>
        <v>0.32869565217391306</v>
      </c>
      <c r="G54" s="78"/>
      <c r="H54" s="78"/>
      <c r="I54" s="79"/>
      <c r="K54" s="77">
        <f>SUM(N44:N50)</f>
        <v>0.84499999999999997</v>
      </c>
      <c r="L54" s="78"/>
      <c r="M54" s="78"/>
      <c r="N54" s="79"/>
    </row>
    <row r="55" spans="1:14" x14ac:dyDescent="0.45">
      <c r="D55" s="51" t="s">
        <v>195</v>
      </c>
      <c r="F55" s="77">
        <f>IF(F54&lt;&gt;0,1/F54,"")</f>
        <v>3.0423280423280423</v>
      </c>
      <c r="G55" s="78"/>
      <c r="H55" s="78"/>
      <c r="I55" s="79"/>
      <c r="K55" s="77">
        <f>IF(K54&lt;&gt;0,1/K54,"")</f>
        <v>1.1834319526627219</v>
      </c>
      <c r="L55" s="78"/>
      <c r="M55" s="78"/>
      <c r="N55" s="79"/>
    </row>
    <row r="57" spans="1:14" x14ac:dyDescent="0.45">
      <c r="A57" s="51" t="s">
        <v>168</v>
      </c>
      <c r="B57" s="53">
        <v>5</v>
      </c>
      <c r="D57" s="51" t="s">
        <v>182</v>
      </c>
      <c r="F57" s="59" t="s">
        <v>183</v>
      </c>
      <c r="G57" s="59"/>
      <c r="H57" s="59"/>
      <c r="I57" s="59">
        <v>0.11</v>
      </c>
      <c r="K57" s="59" t="s">
        <v>183</v>
      </c>
      <c r="L57" s="59"/>
      <c r="M57" s="59"/>
      <c r="N57" s="59">
        <v>0.11</v>
      </c>
    </row>
    <row r="58" spans="1:14" x14ac:dyDescent="0.45">
      <c r="A58" s="51" t="s">
        <v>169</v>
      </c>
      <c r="B58" s="59" t="s">
        <v>199</v>
      </c>
      <c r="D58" s="51" t="s">
        <v>184</v>
      </c>
      <c r="F58" s="59" t="s">
        <v>200</v>
      </c>
      <c r="G58" s="59">
        <v>8.9999999999999993E-3</v>
      </c>
      <c r="H58" s="59">
        <v>0.12</v>
      </c>
      <c r="I58" s="59">
        <f>G58/H58</f>
        <v>7.4999999999999997E-2</v>
      </c>
      <c r="K58" s="59" t="s">
        <v>186</v>
      </c>
      <c r="L58" s="59">
        <v>8.9999999999999993E-3</v>
      </c>
      <c r="M58" s="59">
        <v>0.12</v>
      </c>
      <c r="N58" s="59">
        <f>L58/M58</f>
        <v>7.4999999999999997E-2</v>
      </c>
    </row>
    <row r="59" spans="1:14" ht="20.25" x14ac:dyDescent="0.45">
      <c r="A59" s="51" t="s">
        <v>170</v>
      </c>
      <c r="B59" s="53">
        <f>IF(AND(F65="",K65=""),"",IF(F65&lt;&gt;"",F68*F65)+IF(K65&lt;&gt;"",K68*K65,0))</f>
        <v>3.3898305084745766</v>
      </c>
      <c r="D59" s="51" t="s">
        <v>187</v>
      </c>
      <c r="F59" s="59"/>
      <c r="G59" s="59"/>
      <c r="H59" s="59"/>
      <c r="I59" s="59"/>
      <c r="K59" s="59"/>
      <c r="L59" s="59"/>
      <c r="M59" s="59"/>
      <c r="N59" s="59"/>
    </row>
    <row r="60" spans="1:14" x14ac:dyDescent="0.45">
      <c r="D60" s="51" t="s">
        <v>188</v>
      </c>
      <c r="F60" s="59"/>
      <c r="G60" s="59"/>
      <c r="H60" s="59"/>
      <c r="I60" s="59"/>
      <c r="K60" s="59"/>
      <c r="L60" s="59"/>
      <c r="M60" s="59"/>
      <c r="N60" s="59"/>
    </row>
    <row r="61" spans="1:14" x14ac:dyDescent="0.45">
      <c r="D61" s="51" t="s">
        <v>189</v>
      </c>
      <c r="F61" s="59"/>
      <c r="G61" s="59"/>
      <c r="H61" s="59"/>
      <c r="I61" s="59"/>
      <c r="K61" s="59"/>
      <c r="L61" s="59"/>
      <c r="M61" s="59"/>
      <c r="N61" s="59"/>
    </row>
    <row r="62" spans="1:14" x14ac:dyDescent="0.45">
      <c r="D62" s="51" t="s">
        <v>190</v>
      </c>
      <c r="F62" s="59"/>
      <c r="G62" s="59"/>
      <c r="H62" s="59"/>
      <c r="I62" s="59"/>
      <c r="K62" s="59"/>
      <c r="L62" s="59"/>
      <c r="M62" s="59"/>
      <c r="N62" s="59"/>
    </row>
    <row r="63" spans="1:14" x14ac:dyDescent="0.45">
      <c r="D63" s="51" t="s">
        <v>191</v>
      </c>
      <c r="F63" s="59" t="s">
        <v>192</v>
      </c>
      <c r="G63" s="59"/>
      <c r="H63" s="59"/>
      <c r="I63" s="59">
        <v>0.11</v>
      </c>
      <c r="K63" s="59" t="s">
        <v>192</v>
      </c>
      <c r="L63" s="59"/>
      <c r="M63" s="59"/>
      <c r="N63" s="59">
        <v>0.11</v>
      </c>
    </row>
    <row r="65" spans="1:14" x14ac:dyDescent="0.45">
      <c r="D65" s="51" t="s">
        <v>193</v>
      </c>
      <c r="F65" s="80">
        <v>0.83</v>
      </c>
      <c r="G65" s="81"/>
      <c r="H65" s="81"/>
      <c r="I65" s="82"/>
      <c r="K65" s="80">
        <v>0.17</v>
      </c>
      <c r="L65" s="81"/>
      <c r="M65" s="81"/>
      <c r="N65" s="82"/>
    </row>
    <row r="67" spans="1:14" x14ac:dyDescent="0.45">
      <c r="D67" s="51" t="s">
        <v>194</v>
      </c>
      <c r="F67" s="77">
        <f>SUM(I57:I63)</f>
        <v>0.29499999999999998</v>
      </c>
      <c r="G67" s="78"/>
      <c r="H67" s="78"/>
      <c r="I67" s="79"/>
      <c r="K67" s="77">
        <f>SUM(N57:N63)</f>
        <v>0.29499999999999998</v>
      </c>
      <c r="L67" s="78"/>
      <c r="M67" s="78"/>
      <c r="N67" s="79"/>
    </row>
    <row r="68" spans="1:14" x14ac:dyDescent="0.45">
      <c r="D68" s="51" t="s">
        <v>195</v>
      </c>
      <c r="F68" s="77">
        <f>IF(F67&lt;&gt;0,1/F67,"")</f>
        <v>3.3898305084745766</v>
      </c>
      <c r="G68" s="78"/>
      <c r="H68" s="78"/>
      <c r="I68" s="79"/>
      <c r="K68" s="77">
        <f>IF(K67&lt;&gt;0,1/K67,"")</f>
        <v>3.3898305084745766</v>
      </c>
      <c r="L68" s="78"/>
      <c r="M68" s="78"/>
      <c r="N68" s="79"/>
    </row>
    <row r="70" spans="1:14" x14ac:dyDescent="0.45">
      <c r="A70" s="51" t="s">
        <v>168</v>
      </c>
      <c r="B70" s="53">
        <v>6</v>
      </c>
      <c r="D70" s="51" t="s">
        <v>182</v>
      </c>
      <c r="F70" s="59" t="s">
        <v>183</v>
      </c>
      <c r="G70" s="59"/>
      <c r="H70" s="59"/>
      <c r="I70" s="59">
        <v>0.11</v>
      </c>
      <c r="K70" s="59" t="s">
        <v>183</v>
      </c>
      <c r="L70" s="59"/>
      <c r="M70" s="59"/>
      <c r="N70" s="59">
        <v>0.11</v>
      </c>
    </row>
    <row r="71" spans="1:14" x14ac:dyDescent="0.45">
      <c r="A71" s="51" t="s">
        <v>169</v>
      </c>
      <c r="B71" s="59" t="s">
        <v>201</v>
      </c>
      <c r="D71" s="51" t="s">
        <v>184</v>
      </c>
      <c r="F71" s="59" t="s">
        <v>185</v>
      </c>
      <c r="G71" s="59">
        <v>3.7499999999999999E-2</v>
      </c>
      <c r="H71" s="59">
        <v>0.69</v>
      </c>
      <c r="I71" s="59">
        <f>G71/H71</f>
        <v>5.4347826086956527E-2</v>
      </c>
      <c r="K71" s="59" t="s">
        <v>186</v>
      </c>
      <c r="L71" s="59">
        <v>3.7499999999999999E-2</v>
      </c>
      <c r="M71" s="59">
        <v>0.12</v>
      </c>
      <c r="N71" s="59">
        <f>L71/M71</f>
        <v>0.3125</v>
      </c>
    </row>
    <row r="72" spans="1:14" ht="20.25" x14ac:dyDescent="0.45">
      <c r="A72" s="51" t="s">
        <v>170</v>
      </c>
      <c r="B72" s="53">
        <f>IF(AND(F78="",K78=""),"",IF(F78&lt;&gt;"",F81*F78)+IF(K78&lt;&gt;"",K81*K78,0))</f>
        <v>3.3446054031532038</v>
      </c>
      <c r="D72" s="51" t="s">
        <v>187</v>
      </c>
      <c r="F72" s="59"/>
      <c r="G72" s="59"/>
      <c r="H72" s="59"/>
      <c r="I72" s="59"/>
      <c r="K72" s="59"/>
      <c r="L72" s="59"/>
      <c r="M72" s="59"/>
      <c r="N72" s="59"/>
    </row>
    <row r="73" spans="1:14" x14ac:dyDescent="0.45">
      <c r="D73" s="51" t="s">
        <v>188</v>
      </c>
      <c r="F73" s="59"/>
      <c r="G73" s="59"/>
      <c r="H73" s="59"/>
      <c r="I73" s="59"/>
      <c r="K73" s="59"/>
      <c r="L73" s="59"/>
      <c r="M73" s="59"/>
      <c r="N73" s="59"/>
    </row>
    <row r="74" spans="1:14" x14ac:dyDescent="0.45">
      <c r="D74" s="51" t="s">
        <v>189</v>
      </c>
      <c r="F74" s="59"/>
      <c r="G74" s="59"/>
      <c r="H74" s="59"/>
      <c r="I74" s="59"/>
      <c r="K74" s="59"/>
      <c r="L74" s="59"/>
      <c r="M74" s="59"/>
      <c r="N74" s="59"/>
    </row>
    <row r="75" spans="1:14" x14ac:dyDescent="0.45">
      <c r="D75" s="51" t="s">
        <v>190</v>
      </c>
      <c r="F75" s="59"/>
      <c r="G75" s="59"/>
      <c r="H75" s="59"/>
      <c r="I75" s="59"/>
      <c r="K75" s="59"/>
      <c r="L75" s="59"/>
      <c r="M75" s="59"/>
      <c r="N75" s="59"/>
    </row>
    <row r="76" spans="1:14" x14ac:dyDescent="0.45">
      <c r="D76" s="51" t="s">
        <v>191</v>
      </c>
      <c r="F76" s="59" t="s">
        <v>192</v>
      </c>
      <c r="G76" s="59"/>
      <c r="H76" s="59"/>
      <c r="I76" s="59">
        <v>0.11</v>
      </c>
      <c r="K76" s="59" t="s">
        <v>192</v>
      </c>
      <c r="L76" s="59"/>
      <c r="M76" s="59"/>
      <c r="N76" s="59">
        <v>0.11</v>
      </c>
    </row>
    <row r="78" spans="1:14" x14ac:dyDescent="0.45">
      <c r="D78" s="51" t="s">
        <v>193</v>
      </c>
      <c r="F78" s="80">
        <v>0.83</v>
      </c>
      <c r="G78" s="81"/>
      <c r="H78" s="81"/>
      <c r="I78" s="82"/>
      <c r="K78" s="80">
        <v>0.17</v>
      </c>
      <c r="L78" s="81"/>
      <c r="M78" s="81"/>
      <c r="N78" s="82"/>
    </row>
    <row r="80" spans="1:14" x14ac:dyDescent="0.45">
      <c r="D80" s="51" t="s">
        <v>194</v>
      </c>
      <c r="F80" s="77">
        <f>SUM(I70:I76)</f>
        <v>0.27434782608695651</v>
      </c>
      <c r="G80" s="78"/>
      <c r="H80" s="78"/>
      <c r="I80" s="79"/>
      <c r="K80" s="77">
        <f>SUM(N70:N76)</f>
        <v>0.53249999999999997</v>
      </c>
      <c r="L80" s="78"/>
      <c r="M80" s="78"/>
      <c r="N80" s="79"/>
    </row>
    <row r="81" spans="1:14" x14ac:dyDescent="0.45">
      <c r="D81" s="51" t="s">
        <v>195</v>
      </c>
      <c r="F81" s="77">
        <f>IF(F80&lt;&gt;0,1/F80,"")</f>
        <v>3.6450079239302697</v>
      </c>
      <c r="G81" s="78"/>
      <c r="H81" s="78"/>
      <c r="I81" s="79"/>
      <c r="K81" s="77">
        <f>IF(K80&lt;&gt;0,1/K80,"")</f>
        <v>1.8779342723004695</v>
      </c>
      <c r="L81" s="78"/>
      <c r="M81" s="78"/>
      <c r="N81" s="79"/>
    </row>
    <row r="83" spans="1:14" x14ac:dyDescent="0.45">
      <c r="A83" s="51" t="s">
        <v>168</v>
      </c>
      <c r="B83" s="53">
        <v>7</v>
      </c>
      <c r="D83" s="51" t="s">
        <v>182</v>
      </c>
      <c r="F83" s="59" t="s">
        <v>183</v>
      </c>
      <c r="G83" s="59"/>
      <c r="H83" s="59"/>
      <c r="I83" s="59">
        <v>0.11</v>
      </c>
      <c r="K83" s="59"/>
      <c r="L83" s="59"/>
      <c r="M83" s="59"/>
      <c r="N83" s="59"/>
    </row>
    <row r="84" spans="1:14" x14ac:dyDescent="0.45">
      <c r="A84" s="51" t="s">
        <v>169</v>
      </c>
      <c r="B84" s="59" t="s">
        <v>202</v>
      </c>
      <c r="D84" s="51" t="s">
        <v>184</v>
      </c>
      <c r="F84" s="59" t="s">
        <v>185</v>
      </c>
      <c r="G84" s="59">
        <v>1.4999999999999999E-2</v>
      </c>
      <c r="H84" s="59">
        <v>0.12</v>
      </c>
      <c r="I84" s="59">
        <f>G84/H84</f>
        <v>0.125</v>
      </c>
      <c r="K84" s="59"/>
      <c r="L84" s="59"/>
      <c r="M84" s="59"/>
      <c r="N84" s="59"/>
    </row>
    <row r="85" spans="1:14" ht="20.25" x14ac:dyDescent="0.45">
      <c r="A85" s="51" t="s">
        <v>170</v>
      </c>
      <c r="B85" s="53">
        <f>IF(AND(F91="",K91=""),"",IF(F91&lt;&gt;"",F94*F91)+IF(K91&lt;&gt;"",K94*K91,0))</f>
        <v>2.8985507246376816</v>
      </c>
      <c r="D85" s="51" t="s">
        <v>187</v>
      </c>
      <c r="F85" s="59"/>
      <c r="G85" s="59"/>
      <c r="H85" s="59"/>
      <c r="I85" s="59"/>
      <c r="K85" s="59"/>
      <c r="L85" s="59"/>
      <c r="M85" s="59"/>
      <c r="N85" s="59"/>
    </row>
    <row r="86" spans="1:14" x14ac:dyDescent="0.45">
      <c r="D86" s="51" t="s">
        <v>188</v>
      </c>
      <c r="F86" s="59"/>
      <c r="G86" s="59"/>
      <c r="H86" s="59"/>
      <c r="I86" s="59"/>
      <c r="K86" s="59"/>
      <c r="L86" s="59"/>
      <c r="M86" s="59"/>
      <c r="N86" s="59"/>
    </row>
    <row r="87" spans="1:14" x14ac:dyDescent="0.45">
      <c r="D87" s="51" t="s">
        <v>189</v>
      </c>
      <c r="F87" s="59"/>
      <c r="G87" s="59"/>
      <c r="H87" s="59"/>
      <c r="I87" s="59"/>
      <c r="K87" s="59"/>
      <c r="L87" s="59"/>
      <c r="M87" s="59"/>
      <c r="N87" s="59"/>
    </row>
    <row r="88" spans="1:14" x14ac:dyDescent="0.45">
      <c r="D88" s="51" t="s">
        <v>190</v>
      </c>
      <c r="F88" s="59"/>
      <c r="G88" s="59"/>
      <c r="H88" s="59"/>
      <c r="I88" s="59"/>
      <c r="K88" s="59"/>
      <c r="L88" s="59"/>
      <c r="M88" s="59"/>
      <c r="N88" s="59"/>
    </row>
    <row r="89" spans="1:14" x14ac:dyDescent="0.45">
      <c r="D89" s="51" t="s">
        <v>191</v>
      </c>
      <c r="F89" s="59" t="s">
        <v>192</v>
      </c>
      <c r="G89" s="59"/>
      <c r="H89" s="59"/>
      <c r="I89" s="59">
        <v>0.11</v>
      </c>
      <c r="K89" s="59"/>
      <c r="L89" s="59"/>
      <c r="M89" s="59"/>
      <c r="N89" s="59"/>
    </row>
    <row r="91" spans="1:14" x14ac:dyDescent="0.45">
      <c r="D91" s="51" t="s">
        <v>193</v>
      </c>
      <c r="F91" s="80">
        <v>1</v>
      </c>
      <c r="G91" s="81"/>
      <c r="H91" s="81"/>
      <c r="I91" s="82"/>
      <c r="K91" s="80"/>
      <c r="L91" s="81"/>
      <c r="M91" s="81"/>
      <c r="N91" s="82"/>
    </row>
    <row r="93" spans="1:14" x14ac:dyDescent="0.45">
      <c r="D93" s="51" t="s">
        <v>194</v>
      </c>
      <c r="F93" s="77">
        <f>SUM(I83:I89)</f>
        <v>0.34499999999999997</v>
      </c>
      <c r="G93" s="78"/>
      <c r="H93" s="78"/>
      <c r="I93" s="79"/>
      <c r="K93" s="77">
        <f>SUM(N83:N89)</f>
        <v>0</v>
      </c>
      <c r="L93" s="78"/>
      <c r="M93" s="78"/>
      <c r="N93" s="79"/>
    </row>
    <row r="94" spans="1:14" x14ac:dyDescent="0.45">
      <c r="D94" s="51" t="s">
        <v>195</v>
      </c>
      <c r="F94" s="77">
        <f>IF(F93&lt;&gt;0,1/F93,"")</f>
        <v>2.8985507246376816</v>
      </c>
      <c r="G94" s="78"/>
      <c r="H94" s="78"/>
      <c r="I94" s="79"/>
      <c r="K94" s="77" t="str">
        <f>IF(K93&lt;&gt;0,1/K93,"")</f>
        <v/>
      </c>
      <c r="L94" s="78"/>
      <c r="M94" s="78"/>
      <c r="N94" s="79"/>
    </row>
    <row r="96" spans="1:14" x14ac:dyDescent="0.45">
      <c r="A96" s="51" t="s">
        <v>168</v>
      </c>
      <c r="B96" s="53">
        <v>8</v>
      </c>
      <c r="D96" s="51" t="s">
        <v>182</v>
      </c>
      <c r="F96" s="59" t="s">
        <v>183</v>
      </c>
      <c r="G96" s="59"/>
      <c r="H96" s="59"/>
      <c r="I96" s="59">
        <v>0.15</v>
      </c>
      <c r="K96" s="59"/>
      <c r="L96" s="59"/>
      <c r="M96" s="59"/>
      <c r="N96" s="59"/>
    </row>
    <row r="97" spans="1:14" x14ac:dyDescent="0.45">
      <c r="A97" s="51" t="s">
        <v>169</v>
      </c>
      <c r="B97" s="59" t="s">
        <v>203</v>
      </c>
      <c r="D97" s="51" t="s">
        <v>184</v>
      </c>
      <c r="F97" s="59" t="s">
        <v>200</v>
      </c>
      <c r="G97" s="59">
        <v>1.4999999999999999E-2</v>
      </c>
      <c r="H97" s="59">
        <v>0.12</v>
      </c>
      <c r="I97" s="59">
        <f>G97/H97</f>
        <v>0.125</v>
      </c>
      <c r="K97" s="59"/>
      <c r="L97" s="59"/>
      <c r="M97" s="59"/>
      <c r="N97" s="59"/>
    </row>
    <row r="98" spans="1:14" ht="20.25" x14ac:dyDescent="0.45">
      <c r="A98" s="51" t="s">
        <v>170</v>
      </c>
      <c r="B98" s="53">
        <f>IF(AND(F104="",K104=""),"",IF(F104&lt;&gt;"",F107*F104)+IF(K104&lt;&gt;"",K107*K104,0))</f>
        <v>3.1746031746031744</v>
      </c>
      <c r="D98" s="51" t="s">
        <v>187</v>
      </c>
      <c r="F98" s="59"/>
      <c r="G98" s="59"/>
      <c r="H98" s="59"/>
      <c r="I98" s="59"/>
      <c r="K98" s="59"/>
      <c r="L98" s="59"/>
      <c r="M98" s="59"/>
      <c r="N98" s="59"/>
    </row>
    <row r="99" spans="1:14" x14ac:dyDescent="0.45">
      <c r="D99" s="51" t="s">
        <v>188</v>
      </c>
      <c r="F99" s="59"/>
      <c r="G99" s="59"/>
      <c r="H99" s="59"/>
      <c r="I99" s="59"/>
      <c r="K99" s="59"/>
      <c r="L99" s="59"/>
      <c r="M99" s="59"/>
      <c r="N99" s="59"/>
    </row>
    <row r="100" spans="1:14" x14ac:dyDescent="0.45">
      <c r="D100" s="51" t="s">
        <v>189</v>
      </c>
      <c r="F100" s="59"/>
      <c r="G100" s="59"/>
      <c r="H100" s="59"/>
      <c r="I100" s="59"/>
      <c r="K100" s="59"/>
      <c r="L100" s="59"/>
      <c r="M100" s="59"/>
      <c r="N100" s="59"/>
    </row>
    <row r="101" spans="1:14" x14ac:dyDescent="0.45">
      <c r="D101" s="51" t="s">
        <v>190</v>
      </c>
      <c r="F101" s="59"/>
      <c r="G101" s="59"/>
      <c r="H101" s="59"/>
      <c r="I101" s="59"/>
      <c r="K101" s="59"/>
      <c r="L101" s="59"/>
      <c r="M101" s="59"/>
      <c r="N101" s="59"/>
    </row>
    <row r="102" spans="1:14" x14ac:dyDescent="0.45">
      <c r="D102" s="51" t="s">
        <v>191</v>
      </c>
      <c r="F102" s="59" t="s">
        <v>192</v>
      </c>
      <c r="G102" s="59"/>
      <c r="H102" s="59"/>
      <c r="I102" s="59">
        <v>0.04</v>
      </c>
      <c r="K102" s="59"/>
      <c r="L102" s="59"/>
      <c r="M102" s="59"/>
      <c r="N102" s="59"/>
    </row>
    <row r="104" spans="1:14" x14ac:dyDescent="0.45">
      <c r="D104" s="51" t="s">
        <v>193</v>
      </c>
      <c r="F104" s="80">
        <v>1</v>
      </c>
      <c r="G104" s="81"/>
      <c r="H104" s="81"/>
      <c r="I104" s="82"/>
      <c r="K104" s="80"/>
      <c r="L104" s="81"/>
      <c r="M104" s="81"/>
      <c r="N104" s="82"/>
    </row>
    <row r="106" spans="1:14" x14ac:dyDescent="0.45">
      <c r="D106" s="51" t="s">
        <v>194</v>
      </c>
      <c r="F106" s="77">
        <f>SUM(I96:I102)</f>
        <v>0.315</v>
      </c>
      <c r="G106" s="78"/>
      <c r="H106" s="78"/>
      <c r="I106" s="79"/>
      <c r="K106" s="77">
        <f>SUM(N96:N102)</f>
        <v>0</v>
      </c>
      <c r="L106" s="78"/>
      <c r="M106" s="78"/>
      <c r="N106" s="79"/>
    </row>
    <row r="107" spans="1:14" x14ac:dyDescent="0.45">
      <c r="D107" s="51" t="s">
        <v>195</v>
      </c>
      <c r="F107" s="77">
        <f>IF(F106&lt;&gt;0,1/F106,"")</f>
        <v>3.1746031746031744</v>
      </c>
      <c r="G107" s="78"/>
      <c r="H107" s="78"/>
      <c r="I107" s="79"/>
      <c r="K107" s="77" t="str">
        <f>IF(K106&lt;&gt;0,1/K106,"")</f>
        <v/>
      </c>
      <c r="L107" s="78"/>
      <c r="M107" s="78"/>
      <c r="N107" s="79"/>
    </row>
    <row r="109" spans="1:14" x14ac:dyDescent="0.45">
      <c r="A109" s="51" t="s">
        <v>168</v>
      </c>
      <c r="B109" s="53">
        <v>9</v>
      </c>
      <c r="D109" s="51" t="s">
        <v>182</v>
      </c>
      <c r="F109" s="59" t="s">
        <v>183</v>
      </c>
      <c r="G109" s="59"/>
      <c r="H109" s="59"/>
      <c r="I109" s="59">
        <v>0.15</v>
      </c>
      <c r="K109" s="59"/>
      <c r="L109" s="59"/>
      <c r="M109" s="59"/>
      <c r="N109" s="59"/>
    </row>
    <row r="110" spans="1:14" x14ac:dyDescent="0.45">
      <c r="A110" s="51" t="s">
        <v>169</v>
      </c>
      <c r="B110" s="59" t="s">
        <v>204</v>
      </c>
      <c r="D110" s="51" t="s">
        <v>184</v>
      </c>
      <c r="F110" s="59" t="s">
        <v>200</v>
      </c>
      <c r="G110" s="59">
        <v>1.4999999999999999E-2</v>
      </c>
      <c r="H110" s="59">
        <v>0.12</v>
      </c>
      <c r="I110" s="59">
        <f>G110/H110</f>
        <v>0.125</v>
      </c>
      <c r="K110" s="59"/>
      <c r="L110" s="59"/>
      <c r="M110" s="59"/>
      <c r="N110" s="59"/>
    </row>
    <row r="111" spans="1:14" ht="20.25" x14ac:dyDescent="0.45">
      <c r="A111" s="51" t="s">
        <v>170</v>
      </c>
      <c r="B111" s="53">
        <f>IF(AND(F117="",K117=""),"",IF(F117&lt;&gt;"",F120*F117)+IF(K117&lt;&gt;"",K120*K117,0))</f>
        <v>2.3529411764705879</v>
      </c>
      <c r="D111" s="51" t="s">
        <v>187</v>
      </c>
      <c r="F111" s="59"/>
      <c r="G111" s="59"/>
      <c r="H111" s="59"/>
      <c r="I111" s="59"/>
      <c r="K111" s="59"/>
      <c r="L111" s="59"/>
      <c r="M111" s="59"/>
      <c r="N111" s="59"/>
    </row>
    <row r="112" spans="1:14" x14ac:dyDescent="0.45">
      <c r="D112" s="51" t="s">
        <v>188</v>
      </c>
      <c r="F112" s="59"/>
      <c r="G112" s="59"/>
      <c r="H112" s="59"/>
      <c r="I112" s="59"/>
      <c r="K112" s="59"/>
      <c r="L112" s="59"/>
      <c r="M112" s="59"/>
      <c r="N112" s="59"/>
    </row>
    <row r="113" spans="1:14" x14ac:dyDescent="0.45">
      <c r="D113" s="51" t="s">
        <v>189</v>
      </c>
      <c r="F113" s="59"/>
      <c r="G113" s="59"/>
      <c r="H113" s="59"/>
      <c r="I113" s="59"/>
      <c r="K113" s="59"/>
      <c r="L113" s="59"/>
      <c r="M113" s="59"/>
      <c r="N113" s="59"/>
    </row>
    <row r="114" spans="1:14" x14ac:dyDescent="0.45">
      <c r="D114" s="51" t="s">
        <v>190</v>
      </c>
      <c r="F114" s="59"/>
      <c r="G114" s="59"/>
      <c r="H114" s="59"/>
      <c r="I114" s="59"/>
      <c r="K114" s="59"/>
      <c r="L114" s="59"/>
      <c r="M114" s="59"/>
      <c r="N114" s="59"/>
    </row>
    <row r="115" spans="1:14" x14ac:dyDescent="0.45">
      <c r="D115" s="51" t="s">
        <v>191</v>
      </c>
      <c r="F115" s="59" t="s">
        <v>192</v>
      </c>
      <c r="G115" s="59"/>
      <c r="H115" s="59"/>
      <c r="I115" s="59">
        <v>0.15</v>
      </c>
      <c r="K115" s="59"/>
      <c r="L115" s="59"/>
      <c r="M115" s="59"/>
      <c r="N115" s="59"/>
    </row>
    <row r="117" spans="1:14" x14ac:dyDescent="0.45">
      <c r="D117" s="51" t="s">
        <v>193</v>
      </c>
      <c r="F117" s="80">
        <v>1</v>
      </c>
      <c r="G117" s="81"/>
      <c r="H117" s="81"/>
      <c r="I117" s="82"/>
      <c r="K117" s="80"/>
      <c r="L117" s="81"/>
      <c r="M117" s="81"/>
      <c r="N117" s="82"/>
    </row>
    <row r="119" spans="1:14" x14ac:dyDescent="0.45">
      <c r="D119" s="51" t="s">
        <v>194</v>
      </c>
      <c r="F119" s="77">
        <f>SUM(I109:I115)</f>
        <v>0.42500000000000004</v>
      </c>
      <c r="G119" s="78"/>
      <c r="H119" s="78"/>
      <c r="I119" s="79"/>
      <c r="K119" s="77">
        <f>SUM(N109:N115)</f>
        <v>0</v>
      </c>
      <c r="L119" s="78"/>
      <c r="M119" s="78"/>
      <c r="N119" s="79"/>
    </row>
    <row r="120" spans="1:14" x14ac:dyDescent="0.45">
      <c r="D120" s="51" t="s">
        <v>195</v>
      </c>
      <c r="F120" s="77">
        <f>IF(F119&lt;&gt;0,1/F119,"")</f>
        <v>2.3529411764705879</v>
      </c>
      <c r="G120" s="78"/>
      <c r="H120" s="78"/>
      <c r="I120" s="79"/>
      <c r="K120" s="77" t="str">
        <f>IF(K119&lt;&gt;0,1/K119,"")</f>
        <v/>
      </c>
      <c r="L120" s="78"/>
      <c r="M120" s="78"/>
      <c r="N120" s="79"/>
    </row>
    <row r="122" spans="1:14" x14ac:dyDescent="0.45">
      <c r="A122" s="51" t="s">
        <v>168</v>
      </c>
      <c r="B122" s="53">
        <v>10</v>
      </c>
      <c r="D122" s="51" t="s">
        <v>182</v>
      </c>
      <c r="F122" s="59" t="s">
        <v>183</v>
      </c>
      <c r="G122" s="59"/>
      <c r="H122" s="59"/>
      <c r="I122" s="59">
        <v>0.15</v>
      </c>
      <c r="K122" s="59"/>
      <c r="L122" s="59"/>
      <c r="M122" s="59"/>
      <c r="N122" s="59"/>
    </row>
    <row r="123" spans="1:14" x14ac:dyDescent="0.45">
      <c r="A123" s="51" t="s">
        <v>169</v>
      </c>
      <c r="B123" s="59" t="s">
        <v>205</v>
      </c>
      <c r="D123" s="51" t="s">
        <v>184</v>
      </c>
      <c r="F123" s="59" t="s">
        <v>206</v>
      </c>
      <c r="G123" s="59">
        <v>5.3999999999999999E-2</v>
      </c>
      <c r="H123" s="59">
        <v>0.15</v>
      </c>
      <c r="I123" s="59">
        <f>G123/H123</f>
        <v>0.36</v>
      </c>
      <c r="K123" s="59"/>
      <c r="L123" s="59"/>
      <c r="M123" s="59"/>
      <c r="N123" s="59"/>
    </row>
    <row r="124" spans="1:14" ht="20.25" x14ac:dyDescent="0.45">
      <c r="A124" s="51" t="s">
        <v>170</v>
      </c>
      <c r="B124" s="53">
        <f>IF(AND(F130="",K130=""),"",IF(F130&lt;&gt;"",F133*F130)+IF(K130&lt;&gt;"",K133*K130,0))</f>
        <v>1.2738853503184713</v>
      </c>
      <c r="D124" s="51" t="s">
        <v>187</v>
      </c>
      <c r="F124" s="59" t="s">
        <v>200</v>
      </c>
      <c r="G124" s="59">
        <v>1.4999999999999999E-2</v>
      </c>
      <c r="H124" s="59">
        <v>0.12</v>
      </c>
      <c r="I124" s="59">
        <f>G124/H124</f>
        <v>0.125</v>
      </c>
      <c r="K124" s="59"/>
      <c r="L124" s="59"/>
      <c r="M124" s="59"/>
      <c r="N124" s="59"/>
    </row>
    <row r="125" spans="1:14" x14ac:dyDescent="0.45">
      <c r="D125" s="51" t="s">
        <v>188</v>
      </c>
      <c r="F125" s="59"/>
      <c r="G125" s="59"/>
      <c r="H125" s="59"/>
      <c r="I125" s="59"/>
      <c r="K125" s="59"/>
      <c r="L125" s="59"/>
      <c r="M125" s="59"/>
      <c r="N125" s="59"/>
    </row>
    <row r="126" spans="1:14" x14ac:dyDescent="0.45">
      <c r="D126" s="51" t="s">
        <v>189</v>
      </c>
      <c r="F126" s="59"/>
      <c r="G126" s="59"/>
      <c r="H126" s="59"/>
      <c r="I126" s="59"/>
      <c r="K126" s="59"/>
      <c r="L126" s="59"/>
      <c r="M126" s="59"/>
      <c r="N126" s="59"/>
    </row>
    <row r="127" spans="1:14" x14ac:dyDescent="0.45">
      <c r="D127" s="51" t="s">
        <v>190</v>
      </c>
      <c r="F127" s="59"/>
      <c r="G127" s="59"/>
      <c r="H127" s="59"/>
      <c r="I127" s="59"/>
      <c r="K127" s="59"/>
      <c r="L127" s="59"/>
      <c r="M127" s="59"/>
      <c r="N127" s="59"/>
    </row>
    <row r="128" spans="1:14" x14ac:dyDescent="0.45">
      <c r="D128" s="51" t="s">
        <v>191</v>
      </c>
      <c r="F128" s="59" t="s">
        <v>192</v>
      </c>
      <c r="G128" s="59"/>
      <c r="H128" s="59"/>
      <c r="I128" s="59">
        <v>0.15</v>
      </c>
      <c r="K128" s="59"/>
      <c r="L128" s="59"/>
      <c r="M128" s="59"/>
      <c r="N128" s="59"/>
    </row>
    <row r="130" spans="1:14" x14ac:dyDescent="0.45">
      <c r="D130" s="51" t="s">
        <v>193</v>
      </c>
      <c r="F130" s="80">
        <v>1</v>
      </c>
      <c r="G130" s="81"/>
      <c r="H130" s="81"/>
      <c r="I130" s="82"/>
      <c r="K130" s="80"/>
      <c r="L130" s="81"/>
      <c r="M130" s="81"/>
      <c r="N130" s="82"/>
    </row>
    <row r="132" spans="1:14" x14ac:dyDescent="0.45">
      <c r="D132" s="51" t="s">
        <v>194</v>
      </c>
      <c r="F132" s="77">
        <f>SUM(I122:I128)</f>
        <v>0.78500000000000003</v>
      </c>
      <c r="G132" s="78"/>
      <c r="H132" s="78"/>
      <c r="I132" s="79"/>
      <c r="K132" s="77">
        <f>SUM(N122:N128)</f>
        <v>0</v>
      </c>
      <c r="L132" s="78"/>
      <c r="M132" s="78"/>
      <c r="N132" s="79"/>
    </row>
    <row r="133" spans="1:14" x14ac:dyDescent="0.45">
      <c r="D133" s="51" t="s">
        <v>195</v>
      </c>
      <c r="F133" s="77">
        <f>IF(F132&lt;&gt;0,1/F132,"")</f>
        <v>1.2738853503184713</v>
      </c>
      <c r="G133" s="78"/>
      <c r="H133" s="78"/>
      <c r="I133" s="79"/>
      <c r="K133" s="77" t="str">
        <f>IF(K132&lt;&gt;0,1/K132,"")</f>
        <v/>
      </c>
      <c r="L133" s="78"/>
      <c r="M133" s="78"/>
      <c r="N133" s="79"/>
    </row>
    <row r="135" spans="1:14" x14ac:dyDescent="0.45">
      <c r="A135" s="51" t="s">
        <v>168</v>
      </c>
      <c r="B135" s="53">
        <v>11</v>
      </c>
      <c r="D135" s="51" t="s">
        <v>182</v>
      </c>
      <c r="F135" s="59" t="s">
        <v>183</v>
      </c>
      <c r="G135" s="59"/>
      <c r="H135" s="59"/>
      <c r="I135" s="59">
        <v>0.09</v>
      </c>
      <c r="K135" s="59"/>
      <c r="L135" s="59"/>
      <c r="M135" s="59"/>
      <c r="N135" s="59"/>
    </row>
    <row r="136" spans="1:14" x14ac:dyDescent="0.45">
      <c r="A136" s="51" t="s">
        <v>169</v>
      </c>
      <c r="B136" s="59" t="s">
        <v>207</v>
      </c>
      <c r="D136" s="51" t="s">
        <v>184</v>
      </c>
      <c r="F136" s="59" t="s">
        <v>200</v>
      </c>
      <c r="G136" s="59">
        <v>8.9999999999999993E-3</v>
      </c>
      <c r="H136" s="59">
        <v>0.12</v>
      </c>
      <c r="I136" s="59">
        <f>G136/H136</f>
        <v>7.4999999999999997E-2</v>
      </c>
      <c r="K136" s="59"/>
      <c r="L136" s="59"/>
      <c r="M136" s="59"/>
      <c r="N136" s="59"/>
    </row>
    <row r="137" spans="1:14" ht="20.25" x14ac:dyDescent="0.45">
      <c r="A137" s="51" t="s">
        <v>170</v>
      </c>
      <c r="B137" s="53">
        <f>IF(AND(F143="",K143=""),"",IF(F143&lt;&gt;"",F146*F143)+IF(K143&lt;&gt;"",K146*K143,0))</f>
        <v>3.9215686274509802</v>
      </c>
      <c r="D137" s="51" t="s">
        <v>187</v>
      </c>
      <c r="F137" s="59"/>
      <c r="G137" s="59"/>
      <c r="H137" s="59"/>
      <c r="I137" s="59"/>
      <c r="K137" s="59"/>
      <c r="L137" s="59"/>
      <c r="M137" s="59"/>
      <c r="N137" s="59"/>
    </row>
    <row r="138" spans="1:14" x14ac:dyDescent="0.45">
      <c r="D138" s="51" t="s">
        <v>188</v>
      </c>
      <c r="F138" s="59"/>
      <c r="G138" s="59"/>
      <c r="H138" s="59"/>
      <c r="I138" s="59"/>
      <c r="K138" s="59"/>
      <c r="L138" s="59"/>
      <c r="M138" s="59"/>
      <c r="N138" s="59"/>
    </row>
    <row r="139" spans="1:14" x14ac:dyDescent="0.45">
      <c r="D139" s="51" t="s">
        <v>189</v>
      </c>
      <c r="F139" s="59"/>
      <c r="G139" s="59"/>
      <c r="H139" s="59"/>
      <c r="I139" s="59"/>
      <c r="K139" s="59"/>
      <c r="L139" s="59"/>
      <c r="M139" s="59"/>
      <c r="N139" s="59"/>
    </row>
    <row r="140" spans="1:14" x14ac:dyDescent="0.45">
      <c r="D140" s="51" t="s">
        <v>190</v>
      </c>
      <c r="F140" s="59"/>
      <c r="G140" s="59"/>
      <c r="H140" s="59"/>
      <c r="I140" s="59"/>
      <c r="K140" s="59"/>
      <c r="L140" s="59"/>
      <c r="M140" s="59"/>
      <c r="N140" s="59"/>
    </row>
    <row r="141" spans="1:14" x14ac:dyDescent="0.45">
      <c r="D141" s="51" t="s">
        <v>191</v>
      </c>
      <c r="F141" s="59" t="s">
        <v>192</v>
      </c>
      <c r="G141" s="59"/>
      <c r="H141" s="59"/>
      <c r="I141" s="59">
        <v>0.09</v>
      </c>
      <c r="K141" s="59"/>
      <c r="L141" s="59"/>
      <c r="M141" s="59"/>
      <c r="N141" s="59"/>
    </row>
    <row r="143" spans="1:14" x14ac:dyDescent="0.45">
      <c r="D143" s="51" t="s">
        <v>193</v>
      </c>
      <c r="F143" s="80">
        <v>1</v>
      </c>
      <c r="G143" s="81"/>
      <c r="H143" s="81"/>
      <c r="I143" s="82"/>
      <c r="K143" s="80"/>
      <c r="L143" s="81"/>
      <c r="M143" s="81"/>
      <c r="N143" s="82"/>
    </row>
    <row r="145" spans="1:14" x14ac:dyDescent="0.45">
      <c r="D145" s="51" t="s">
        <v>194</v>
      </c>
      <c r="F145" s="77">
        <f>SUM(I135:I141)</f>
        <v>0.255</v>
      </c>
      <c r="G145" s="78"/>
      <c r="H145" s="78"/>
      <c r="I145" s="79"/>
      <c r="K145" s="77">
        <f>SUM(N135:N141)</f>
        <v>0</v>
      </c>
      <c r="L145" s="78"/>
      <c r="M145" s="78"/>
      <c r="N145" s="79"/>
    </row>
    <row r="146" spans="1:14" x14ac:dyDescent="0.45">
      <c r="D146" s="51" t="s">
        <v>195</v>
      </c>
      <c r="F146" s="77">
        <f>IF(F145&lt;&gt;0,1/F145,"")</f>
        <v>3.9215686274509802</v>
      </c>
      <c r="G146" s="78"/>
      <c r="H146" s="78"/>
      <c r="I146" s="79"/>
      <c r="K146" s="77" t="str">
        <f>IF(K145&lt;&gt;0,1/K145,"")</f>
        <v/>
      </c>
      <c r="L146" s="78"/>
      <c r="M146" s="78"/>
      <c r="N146" s="79"/>
    </row>
    <row r="148" spans="1:14" x14ac:dyDescent="0.45">
      <c r="A148" s="51" t="s">
        <v>168</v>
      </c>
      <c r="B148" s="53">
        <v>12</v>
      </c>
      <c r="D148" s="51" t="s">
        <v>182</v>
      </c>
      <c r="F148" s="59"/>
      <c r="G148" s="59"/>
      <c r="H148" s="59"/>
      <c r="I148" s="59"/>
      <c r="K148" s="59"/>
      <c r="L148" s="59"/>
      <c r="M148" s="59"/>
      <c r="N148" s="59"/>
    </row>
    <row r="149" spans="1:14" x14ac:dyDescent="0.45">
      <c r="A149" s="51" t="s">
        <v>169</v>
      </c>
      <c r="B149" s="59"/>
      <c r="D149" s="51" t="s">
        <v>184</v>
      </c>
      <c r="F149" s="59"/>
      <c r="G149" s="59"/>
      <c r="H149" s="59"/>
      <c r="I149" s="59"/>
      <c r="K149" s="59"/>
      <c r="L149" s="59"/>
      <c r="M149" s="59"/>
      <c r="N149" s="59"/>
    </row>
    <row r="150" spans="1:14" ht="20.25" x14ac:dyDescent="0.45">
      <c r="A150" s="51" t="s">
        <v>170</v>
      </c>
      <c r="B150" s="53" t="str">
        <f>IF(AND(F156="",K156=""),"",IF(F156&lt;&gt;"",F159*F156)+IF(K156&lt;&gt;"",K159*K156,0))</f>
        <v/>
      </c>
      <c r="D150" s="51" t="s">
        <v>187</v>
      </c>
      <c r="F150" s="59"/>
      <c r="G150" s="59"/>
      <c r="H150" s="59"/>
      <c r="I150" s="59"/>
      <c r="K150" s="59"/>
      <c r="L150" s="59"/>
      <c r="M150" s="59"/>
      <c r="N150" s="59"/>
    </row>
    <row r="151" spans="1:14" x14ac:dyDescent="0.45">
      <c r="D151" s="51" t="s">
        <v>188</v>
      </c>
      <c r="F151" s="59"/>
      <c r="G151" s="59"/>
      <c r="H151" s="59"/>
      <c r="I151" s="59"/>
      <c r="K151" s="59"/>
      <c r="L151" s="59"/>
      <c r="M151" s="59"/>
      <c r="N151" s="59"/>
    </row>
    <row r="152" spans="1:14" x14ac:dyDescent="0.45">
      <c r="D152" s="51" t="s">
        <v>189</v>
      </c>
      <c r="F152" s="59"/>
      <c r="G152" s="59"/>
      <c r="H152" s="59"/>
      <c r="I152" s="59"/>
      <c r="K152" s="59"/>
      <c r="L152" s="59"/>
      <c r="M152" s="59"/>
      <c r="N152" s="59"/>
    </row>
    <row r="153" spans="1:14" x14ac:dyDescent="0.45">
      <c r="D153" s="51" t="s">
        <v>190</v>
      </c>
      <c r="F153" s="59"/>
      <c r="G153" s="59"/>
      <c r="H153" s="59"/>
      <c r="I153" s="59"/>
      <c r="K153" s="59"/>
      <c r="L153" s="59"/>
      <c r="M153" s="59"/>
      <c r="N153" s="59"/>
    </row>
    <row r="154" spans="1:14" x14ac:dyDescent="0.45">
      <c r="D154" s="51" t="s">
        <v>191</v>
      </c>
      <c r="F154" s="59"/>
      <c r="G154" s="59"/>
      <c r="H154" s="59"/>
      <c r="I154" s="59"/>
      <c r="K154" s="59"/>
      <c r="L154" s="59"/>
      <c r="M154" s="59"/>
      <c r="N154" s="59"/>
    </row>
    <row r="156" spans="1:14" x14ac:dyDescent="0.45">
      <c r="D156" s="51" t="s">
        <v>193</v>
      </c>
      <c r="F156" s="80"/>
      <c r="G156" s="81"/>
      <c r="H156" s="81"/>
      <c r="I156" s="82"/>
      <c r="K156" s="80"/>
      <c r="L156" s="81"/>
      <c r="M156" s="81"/>
      <c r="N156" s="82"/>
    </row>
    <row r="158" spans="1:14" x14ac:dyDescent="0.45">
      <c r="D158" s="51" t="s">
        <v>194</v>
      </c>
      <c r="F158" s="77">
        <f>SUM(I148:I154)</f>
        <v>0</v>
      </c>
      <c r="G158" s="78"/>
      <c r="H158" s="78"/>
      <c r="I158" s="79"/>
      <c r="K158" s="77">
        <f>SUM(N148:N154)</f>
        <v>0</v>
      </c>
      <c r="L158" s="78"/>
      <c r="M158" s="78"/>
      <c r="N158" s="79"/>
    </row>
    <row r="159" spans="1:14" x14ac:dyDescent="0.45">
      <c r="D159" s="51" t="s">
        <v>195</v>
      </c>
      <c r="F159" s="77" t="str">
        <f>IF(F158&lt;&gt;0,1/F158,"")</f>
        <v/>
      </c>
      <c r="G159" s="78"/>
      <c r="H159" s="78"/>
      <c r="I159" s="79"/>
      <c r="K159" s="77" t="str">
        <f>IF(K158&lt;&gt;0,1/K158,"")</f>
        <v/>
      </c>
      <c r="L159" s="78"/>
      <c r="M159" s="78"/>
      <c r="N159" s="79"/>
    </row>
    <row r="161" spans="1:14" x14ac:dyDescent="0.45">
      <c r="A161" s="51" t="s">
        <v>168</v>
      </c>
      <c r="B161" s="53">
        <v>13</v>
      </c>
      <c r="D161" s="51" t="s">
        <v>182</v>
      </c>
      <c r="F161" s="59"/>
      <c r="G161" s="59"/>
      <c r="H161" s="59"/>
      <c r="I161" s="59"/>
      <c r="K161" s="59"/>
      <c r="L161" s="59"/>
      <c r="M161" s="59"/>
      <c r="N161" s="59"/>
    </row>
    <row r="162" spans="1:14" x14ac:dyDescent="0.45">
      <c r="A162" s="51" t="s">
        <v>169</v>
      </c>
      <c r="B162" s="59"/>
      <c r="D162" s="51" t="s">
        <v>184</v>
      </c>
      <c r="F162" s="59"/>
      <c r="G162" s="59"/>
      <c r="H162" s="59"/>
      <c r="I162" s="59"/>
      <c r="K162" s="59"/>
      <c r="L162" s="59"/>
      <c r="M162" s="59"/>
      <c r="N162" s="59"/>
    </row>
    <row r="163" spans="1:14" ht="20.25" x14ac:dyDescent="0.45">
      <c r="A163" s="51" t="s">
        <v>170</v>
      </c>
      <c r="B163" s="53" t="str">
        <f>IF(AND(F169="",K169=""),"",IF(F169&lt;&gt;"",F172*F169)+IF(K169&lt;&gt;"",K172*K169,0))</f>
        <v/>
      </c>
      <c r="D163" s="51" t="s">
        <v>187</v>
      </c>
      <c r="F163" s="59"/>
      <c r="G163" s="59"/>
      <c r="H163" s="59"/>
      <c r="I163" s="59"/>
      <c r="K163" s="59"/>
      <c r="L163" s="59"/>
      <c r="M163" s="59"/>
      <c r="N163" s="59"/>
    </row>
    <row r="164" spans="1:14" x14ac:dyDescent="0.45">
      <c r="D164" s="51" t="s">
        <v>188</v>
      </c>
      <c r="F164" s="59"/>
      <c r="G164" s="59"/>
      <c r="H164" s="59"/>
      <c r="I164" s="59"/>
      <c r="K164" s="59"/>
      <c r="L164" s="59"/>
      <c r="M164" s="59"/>
      <c r="N164" s="59"/>
    </row>
    <row r="165" spans="1:14" x14ac:dyDescent="0.45">
      <c r="D165" s="51" t="s">
        <v>189</v>
      </c>
      <c r="F165" s="59"/>
      <c r="G165" s="59"/>
      <c r="H165" s="59"/>
      <c r="I165" s="59"/>
      <c r="K165" s="59"/>
      <c r="L165" s="59"/>
      <c r="M165" s="59"/>
      <c r="N165" s="59"/>
    </row>
    <row r="166" spans="1:14" x14ac:dyDescent="0.45">
      <c r="D166" s="51" t="s">
        <v>190</v>
      </c>
      <c r="F166" s="59"/>
      <c r="G166" s="59"/>
      <c r="H166" s="59"/>
      <c r="I166" s="59"/>
      <c r="K166" s="59"/>
      <c r="L166" s="59"/>
      <c r="M166" s="59"/>
      <c r="N166" s="59"/>
    </row>
    <row r="167" spans="1:14" x14ac:dyDescent="0.45">
      <c r="D167" s="51" t="s">
        <v>191</v>
      </c>
      <c r="F167" s="59"/>
      <c r="G167" s="59"/>
      <c r="H167" s="59"/>
      <c r="I167" s="59"/>
      <c r="K167" s="59"/>
      <c r="L167" s="59"/>
      <c r="M167" s="59"/>
      <c r="N167" s="59"/>
    </row>
    <row r="169" spans="1:14" x14ac:dyDescent="0.45">
      <c r="D169" s="51" t="s">
        <v>193</v>
      </c>
      <c r="F169" s="80"/>
      <c r="G169" s="81"/>
      <c r="H169" s="81"/>
      <c r="I169" s="82"/>
      <c r="K169" s="80"/>
      <c r="L169" s="81"/>
      <c r="M169" s="81"/>
      <c r="N169" s="82"/>
    </row>
    <row r="171" spans="1:14" x14ac:dyDescent="0.45">
      <c r="D171" s="51" t="s">
        <v>194</v>
      </c>
      <c r="F171" s="77">
        <f>SUM(I161:I167)</f>
        <v>0</v>
      </c>
      <c r="G171" s="78"/>
      <c r="H171" s="78"/>
      <c r="I171" s="79"/>
      <c r="K171" s="77">
        <f>SUM(N161:N167)</f>
        <v>0</v>
      </c>
      <c r="L171" s="78"/>
      <c r="M171" s="78"/>
      <c r="N171" s="79"/>
    </row>
    <row r="172" spans="1:14" x14ac:dyDescent="0.45">
      <c r="D172" s="51" t="s">
        <v>195</v>
      </c>
      <c r="F172" s="77" t="str">
        <f>IF(F171&lt;&gt;0,1/F171,"")</f>
        <v/>
      </c>
      <c r="G172" s="78"/>
      <c r="H172" s="78"/>
      <c r="I172" s="79"/>
      <c r="K172" s="77" t="str">
        <f>IF(K171&lt;&gt;0,1/K171,"")</f>
        <v/>
      </c>
      <c r="L172" s="78"/>
      <c r="M172" s="78"/>
      <c r="N172" s="79"/>
    </row>
    <row r="174" spans="1:14" x14ac:dyDescent="0.45">
      <c r="A174" s="51" t="s">
        <v>168</v>
      </c>
      <c r="B174" s="53">
        <v>14</v>
      </c>
      <c r="D174" s="51" t="s">
        <v>182</v>
      </c>
      <c r="F174" s="59"/>
      <c r="G174" s="59"/>
      <c r="H174" s="59"/>
      <c r="I174" s="59"/>
      <c r="K174" s="59"/>
      <c r="L174" s="59"/>
      <c r="M174" s="59"/>
      <c r="N174" s="59"/>
    </row>
    <row r="175" spans="1:14" x14ac:dyDescent="0.45">
      <c r="A175" s="51" t="s">
        <v>169</v>
      </c>
      <c r="B175" s="59"/>
      <c r="D175" s="51" t="s">
        <v>184</v>
      </c>
      <c r="F175" s="59"/>
      <c r="G175" s="59"/>
      <c r="H175" s="59"/>
      <c r="I175" s="59"/>
      <c r="K175" s="59"/>
      <c r="L175" s="59"/>
      <c r="M175" s="59"/>
      <c r="N175" s="59"/>
    </row>
    <row r="176" spans="1:14" ht="20.25" x14ac:dyDescent="0.45">
      <c r="A176" s="51" t="s">
        <v>170</v>
      </c>
      <c r="B176" s="53" t="str">
        <f>IF(AND(F182="",K182=""),"",IF(F182&lt;&gt;"",F185*F182)+IF(K182&lt;&gt;"",K185*K182,0))</f>
        <v/>
      </c>
      <c r="D176" s="51" t="s">
        <v>187</v>
      </c>
      <c r="F176" s="59"/>
      <c r="G176" s="59"/>
      <c r="H176" s="59"/>
      <c r="I176" s="59"/>
      <c r="K176" s="59"/>
      <c r="L176" s="59"/>
      <c r="M176" s="59"/>
      <c r="N176" s="59"/>
    </row>
    <row r="177" spans="1:14" x14ac:dyDescent="0.45">
      <c r="D177" s="51" t="s">
        <v>188</v>
      </c>
      <c r="F177" s="59"/>
      <c r="G177" s="59"/>
      <c r="H177" s="59"/>
      <c r="I177" s="59"/>
      <c r="K177" s="59"/>
      <c r="L177" s="59"/>
      <c r="M177" s="59"/>
      <c r="N177" s="59"/>
    </row>
    <row r="178" spans="1:14" x14ac:dyDescent="0.45">
      <c r="D178" s="51" t="s">
        <v>189</v>
      </c>
      <c r="F178" s="59"/>
      <c r="G178" s="59"/>
      <c r="H178" s="59"/>
      <c r="I178" s="59"/>
      <c r="K178" s="59"/>
      <c r="L178" s="59"/>
      <c r="M178" s="59"/>
      <c r="N178" s="59"/>
    </row>
    <row r="179" spans="1:14" x14ac:dyDescent="0.45">
      <c r="D179" s="51" t="s">
        <v>190</v>
      </c>
      <c r="F179" s="59"/>
      <c r="G179" s="59"/>
      <c r="H179" s="59"/>
      <c r="I179" s="59"/>
      <c r="K179" s="59"/>
      <c r="L179" s="59"/>
      <c r="M179" s="59"/>
      <c r="N179" s="59"/>
    </row>
    <row r="180" spans="1:14" x14ac:dyDescent="0.45">
      <c r="D180" s="51" t="s">
        <v>191</v>
      </c>
      <c r="F180" s="59"/>
      <c r="G180" s="59"/>
      <c r="H180" s="59"/>
      <c r="I180" s="59"/>
      <c r="K180" s="59"/>
      <c r="L180" s="59"/>
      <c r="M180" s="59"/>
      <c r="N180" s="59"/>
    </row>
    <row r="182" spans="1:14" x14ac:dyDescent="0.45">
      <c r="D182" s="51" t="s">
        <v>193</v>
      </c>
      <c r="F182" s="80"/>
      <c r="G182" s="81"/>
      <c r="H182" s="81"/>
      <c r="I182" s="82"/>
      <c r="K182" s="80"/>
      <c r="L182" s="81"/>
      <c r="M182" s="81"/>
      <c r="N182" s="82"/>
    </row>
    <row r="184" spans="1:14" x14ac:dyDescent="0.45">
      <c r="D184" s="51" t="s">
        <v>194</v>
      </c>
      <c r="F184" s="77">
        <f>SUM(I174:I180)</f>
        <v>0</v>
      </c>
      <c r="G184" s="78"/>
      <c r="H184" s="78"/>
      <c r="I184" s="79"/>
      <c r="K184" s="77">
        <f>SUM(N174:N180)</f>
        <v>0</v>
      </c>
      <c r="L184" s="78"/>
      <c r="M184" s="78"/>
      <c r="N184" s="79"/>
    </row>
    <row r="185" spans="1:14" x14ac:dyDescent="0.45">
      <c r="D185" s="51" t="s">
        <v>195</v>
      </c>
      <c r="F185" s="77" t="str">
        <f>IF(F184&lt;&gt;0,1/F184,"")</f>
        <v/>
      </c>
      <c r="G185" s="78"/>
      <c r="H185" s="78"/>
      <c r="I185" s="79"/>
      <c r="K185" s="77" t="str">
        <f>IF(K184&lt;&gt;0,1/K184,"")</f>
        <v/>
      </c>
      <c r="L185" s="78"/>
      <c r="M185" s="78"/>
      <c r="N185" s="79"/>
    </row>
    <row r="187" spans="1:14" x14ac:dyDescent="0.45">
      <c r="A187" s="51" t="s">
        <v>168</v>
      </c>
      <c r="B187" s="53">
        <v>15</v>
      </c>
      <c r="D187" s="51" t="s">
        <v>182</v>
      </c>
      <c r="F187" s="59"/>
      <c r="G187" s="59"/>
      <c r="H187" s="59"/>
      <c r="I187" s="59"/>
      <c r="K187" s="59"/>
      <c r="L187" s="59"/>
      <c r="M187" s="59"/>
      <c r="N187" s="59"/>
    </row>
    <row r="188" spans="1:14" x14ac:dyDescent="0.45">
      <c r="A188" s="51" t="s">
        <v>169</v>
      </c>
      <c r="B188" s="59"/>
      <c r="D188" s="51" t="s">
        <v>184</v>
      </c>
      <c r="F188" s="59"/>
      <c r="G188" s="59"/>
      <c r="H188" s="59"/>
      <c r="I188" s="59"/>
      <c r="K188" s="59"/>
      <c r="L188" s="59"/>
      <c r="M188" s="59"/>
      <c r="N188" s="59"/>
    </row>
    <row r="189" spans="1:14" ht="20.25" x14ac:dyDescent="0.45">
      <c r="A189" s="51" t="s">
        <v>170</v>
      </c>
      <c r="B189" s="53" t="str">
        <f>IF(AND(F195="",K195=""),"",IF(F195&lt;&gt;"",F198*F195)+IF(K195&lt;&gt;"",K198*K195,0))</f>
        <v/>
      </c>
      <c r="D189" s="51" t="s">
        <v>187</v>
      </c>
      <c r="F189" s="59"/>
      <c r="G189" s="59"/>
      <c r="H189" s="59"/>
      <c r="I189" s="59"/>
      <c r="K189" s="59"/>
      <c r="L189" s="59"/>
      <c r="M189" s="59"/>
      <c r="N189" s="59"/>
    </row>
    <row r="190" spans="1:14" x14ac:dyDescent="0.45">
      <c r="D190" s="51" t="s">
        <v>188</v>
      </c>
      <c r="F190" s="59"/>
      <c r="G190" s="59"/>
      <c r="H190" s="59"/>
      <c r="I190" s="59"/>
      <c r="K190" s="59"/>
      <c r="L190" s="59"/>
      <c r="M190" s="59"/>
      <c r="N190" s="59"/>
    </row>
    <row r="191" spans="1:14" x14ac:dyDescent="0.45">
      <c r="D191" s="51" t="s">
        <v>189</v>
      </c>
      <c r="F191" s="59"/>
      <c r="G191" s="59"/>
      <c r="H191" s="59"/>
      <c r="I191" s="59"/>
      <c r="K191" s="59"/>
      <c r="L191" s="59"/>
      <c r="M191" s="59"/>
      <c r="N191" s="59"/>
    </row>
    <row r="192" spans="1:14" x14ac:dyDescent="0.45">
      <c r="D192" s="51" t="s">
        <v>190</v>
      </c>
      <c r="F192" s="59"/>
      <c r="G192" s="59"/>
      <c r="H192" s="59"/>
      <c r="I192" s="59"/>
      <c r="K192" s="59"/>
      <c r="L192" s="59"/>
      <c r="M192" s="59"/>
      <c r="N192" s="59"/>
    </row>
    <row r="193" spans="4:14" x14ac:dyDescent="0.45">
      <c r="D193" s="51" t="s">
        <v>191</v>
      </c>
      <c r="F193" s="59"/>
      <c r="G193" s="59"/>
      <c r="H193" s="59"/>
      <c r="I193" s="59"/>
      <c r="K193" s="59"/>
      <c r="L193" s="59"/>
      <c r="M193" s="59"/>
      <c r="N193" s="59"/>
    </row>
    <row r="195" spans="4:14" x14ac:dyDescent="0.45">
      <c r="D195" s="51" t="s">
        <v>193</v>
      </c>
      <c r="F195" s="80"/>
      <c r="G195" s="81"/>
      <c r="H195" s="81"/>
      <c r="I195" s="82"/>
      <c r="K195" s="80"/>
      <c r="L195" s="81"/>
      <c r="M195" s="81"/>
      <c r="N195" s="82"/>
    </row>
    <row r="197" spans="4:14" x14ac:dyDescent="0.45">
      <c r="D197" s="51" t="s">
        <v>194</v>
      </c>
      <c r="F197" s="77">
        <f>SUM(I187:I193)</f>
        <v>0</v>
      </c>
      <c r="G197" s="78"/>
      <c r="H197" s="78"/>
      <c r="I197" s="79"/>
      <c r="K197" s="77">
        <f>SUM(N187:N193)</f>
        <v>0</v>
      </c>
      <c r="L197" s="78"/>
      <c r="M197" s="78"/>
      <c r="N197" s="79"/>
    </row>
    <row r="198" spans="4:14" x14ac:dyDescent="0.45">
      <c r="D198" s="51" t="s">
        <v>195</v>
      </c>
      <c r="F198" s="77" t="str">
        <f>IF(F197&lt;&gt;0,1/F197,"")</f>
        <v/>
      </c>
      <c r="G198" s="78"/>
      <c r="H198" s="78"/>
      <c r="I198" s="79"/>
      <c r="K198" s="77" t="str">
        <f>IF(K197&lt;&gt;0,1/K197,"")</f>
        <v/>
      </c>
      <c r="L198" s="78"/>
      <c r="M198" s="78"/>
      <c r="N198" s="79"/>
    </row>
  </sheetData>
  <mergeCells count="92">
    <mergeCell ref="F1:I1"/>
    <mergeCell ref="K1:N1"/>
    <mergeCell ref="F13:I13"/>
    <mergeCell ref="K13:N13"/>
    <mergeCell ref="F15:I15"/>
    <mergeCell ref="K15:N15"/>
    <mergeCell ref="F16:I16"/>
    <mergeCell ref="K16:N16"/>
    <mergeCell ref="F26:I26"/>
    <mergeCell ref="K26:N26"/>
    <mergeCell ref="F28:I28"/>
    <mergeCell ref="K28:N28"/>
    <mergeCell ref="F29:I29"/>
    <mergeCell ref="K29:N29"/>
    <mergeCell ref="F39:I39"/>
    <mergeCell ref="K39:N39"/>
    <mergeCell ref="F41:I41"/>
    <mergeCell ref="K41:N41"/>
    <mergeCell ref="F42:I42"/>
    <mergeCell ref="K42:N42"/>
    <mergeCell ref="F52:I52"/>
    <mergeCell ref="K52:N52"/>
    <mergeCell ref="F54:I54"/>
    <mergeCell ref="K54:N54"/>
    <mergeCell ref="F55:I55"/>
    <mergeCell ref="K55:N55"/>
    <mergeCell ref="F65:I65"/>
    <mergeCell ref="K65:N65"/>
    <mergeCell ref="F67:I67"/>
    <mergeCell ref="K67:N67"/>
    <mergeCell ref="F68:I68"/>
    <mergeCell ref="K68:N68"/>
    <mergeCell ref="F78:I78"/>
    <mergeCell ref="K78:N78"/>
    <mergeCell ref="F80:I80"/>
    <mergeCell ref="K80:N80"/>
    <mergeCell ref="F81:I81"/>
    <mergeCell ref="K81:N81"/>
    <mergeCell ref="F91:I91"/>
    <mergeCell ref="K91:N91"/>
    <mergeCell ref="F93:I93"/>
    <mergeCell ref="K93:N93"/>
    <mergeCell ref="F94:I94"/>
    <mergeCell ref="K94:N94"/>
    <mergeCell ref="F104:I104"/>
    <mergeCell ref="K104:N104"/>
    <mergeCell ref="F106:I106"/>
    <mergeCell ref="K106:N106"/>
    <mergeCell ref="F107:I107"/>
    <mergeCell ref="K107:N107"/>
    <mergeCell ref="F117:I117"/>
    <mergeCell ref="K117:N117"/>
    <mergeCell ref="F119:I119"/>
    <mergeCell ref="K119:N119"/>
    <mergeCell ref="F120:I120"/>
    <mergeCell ref="K120:N120"/>
    <mergeCell ref="F130:I130"/>
    <mergeCell ref="K130:N130"/>
    <mergeCell ref="F132:I132"/>
    <mergeCell ref="K132:N132"/>
    <mergeCell ref="F133:I133"/>
    <mergeCell ref="K133:N133"/>
    <mergeCell ref="F143:I143"/>
    <mergeCell ref="K143:N143"/>
    <mergeCell ref="F145:I145"/>
    <mergeCell ref="K145:N145"/>
    <mergeCell ref="F146:I146"/>
    <mergeCell ref="K146:N146"/>
    <mergeCell ref="F156:I156"/>
    <mergeCell ref="K156:N156"/>
    <mergeCell ref="F158:I158"/>
    <mergeCell ref="K158:N158"/>
    <mergeCell ref="F159:I159"/>
    <mergeCell ref="K159:N159"/>
    <mergeCell ref="F169:I169"/>
    <mergeCell ref="K169:N169"/>
    <mergeCell ref="F171:I171"/>
    <mergeCell ref="K171:N171"/>
    <mergeCell ref="F172:I172"/>
    <mergeCell ref="K172:N172"/>
    <mergeCell ref="F182:I182"/>
    <mergeCell ref="K182:N182"/>
    <mergeCell ref="F184:I184"/>
    <mergeCell ref="K184:N184"/>
    <mergeCell ref="F198:I198"/>
    <mergeCell ref="K198:N198"/>
    <mergeCell ref="F185:I185"/>
    <mergeCell ref="K185:N185"/>
    <mergeCell ref="F195:I195"/>
    <mergeCell ref="K195:N195"/>
    <mergeCell ref="F197:I197"/>
    <mergeCell ref="K197:N197"/>
  </mergeCells>
  <phoneticPr fontId="2"/>
  <pageMargins left="0.70866141732283472" right="0.70866141732283472" top="0.55118110236220474" bottom="0.55118110236220474" header="0.31496062992125984" footer="0.31496062992125984"/>
  <pageSetup paperSize="9" scale="65" fitToHeight="0" orientation="landscape" horizontalDpi="4294967293" verticalDpi="4294967293" r:id="rId1"/>
  <rowBreaks count="4" manualBreakCount="4">
    <brk id="42" max="16383" man="1"/>
    <brk id="81" max="16383" man="1"/>
    <brk id="120" max="16383" man="1"/>
    <brk id="15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200" zoomScaleNormal="200" workbookViewId="0">
      <selection sqref="A1:A2"/>
    </sheetView>
  </sheetViews>
  <sheetFormatPr defaultRowHeight="18.75" x14ac:dyDescent="0.45"/>
  <cols>
    <col min="1" max="1" width="17" style="1" bestFit="1" customWidth="1"/>
    <col min="2" max="2" width="20.625" style="1" bestFit="1" customWidth="1"/>
    <col min="3" max="3" width="5.5" style="1" bestFit="1" customWidth="1"/>
    <col min="4" max="5" width="12.875" style="1" bestFit="1" customWidth="1"/>
    <col min="6" max="6" width="12" style="1" bestFit="1" customWidth="1"/>
    <col min="7" max="8" width="12.875" style="1" bestFit="1" customWidth="1"/>
    <col min="9" max="16384" width="9" style="1"/>
  </cols>
  <sheetData>
    <row r="1" spans="1:8" ht="31.5" x14ac:dyDescent="0.45">
      <c r="A1" s="75" t="s">
        <v>8</v>
      </c>
      <c r="B1" s="75" t="s">
        <v>9</v>
      </c>
      <c r="C1" s="14" t="s">
        <v>3</v>
      </c>
      <c r="D1" s="37" t="s">
        <v>208</v>
      </c>
      <c r="E1" s="37" t="s">
        <v>209</v>
      </c>
      <c r="F1" s="60" t="s">
        <v>210</v>
      </c>
      <c r="G1" s="5" t="s">
        <v>211</v>
      </c>
      <c r="H1" s="5" t="s">
        <v>212</v>
      </c>
    </row>
    <row r="2" spans="1:8" ht="19.5" thickBot="1" x14ac:dyDescent="0.5">
      <c r="A2" s="76"/>
      <c r="B2" s="76"/>
      <c r="C2" s="15" t="s">
        <v>44</v>
      </c>
      <c r="D2" s="38" t="s">
        <v>39</v>
      </c>
      <c r="E2" s="38" t="s">
        <v>39</v>
      </c>
      <c r="F2" s="61" t="s">
        <v>39</v>
      </c>
      <c r="G2" s="9" t="s">
        <v>37</v>
      </c>
      <c r="H2" s="9" t="s">
        <v>37</v>
      </c>
    </row>
    <row r="3" spans="1:8" x14ac:dyDescent="0.45">
      <c r="A3" s="16" t="s">
        <v>149</v>
      </c>
      <c r="B3" s="16" t="s">
        <v>150</v>
      </c>
      <c r="C3" s="16" t="s">
        <v>214</v>
      </c>
      <c r="D3" s="62">
        <v>153</v>
      </c>
      <c r="E3" s="62">
        <v>1700</v>
      </c>
      <c r="F3" s="62">
        <v>1060</v>
      </c>
      <c r="G3" s="62">
        <f t="shared" ref="G3:G12" si="0">MIN(0.01*(10+15*(2*D3+E3)/F3),0.72)</f>
        <v>0.38386792452830193</v>
      </c>
      <c r="H3" s="62">
        <f>MIN(0.01*(16+24*(2*D3+E3)/F3),0.93)</f>
        <v>0.61418867924528298</v>
      </c>
    </row>
    <row r="4" spans="1:8" x14ac:dyDescent="0.45">
      <c r="A4" s="21" t="s">
        <v>151</v>
      </c>
      <c r="B4" s="21" t="s">
        <v>150</v>
      </c>
      <c r="C4" s="27" t="s">
        <v>216</v>
      </c>
      <c r="D4" s="63">
        <v>153</v>
      </c>
      <c r="E4" s="63">
        <v>1700</v>
      </c>
      <c r="F4" s="63">
        <v>658</v>
      </c>
      <c r="G4" s="63">
        <f t="shared" si="0"/>
        <v>0.55729483282674774</v>
      </c>
      <c r="H4" s="63">
        <f>MIN(0.01*(16+24*(2*D4+E4)/F4),0.93)</f>
        <v>0.89167173252279641</v>
      </c>
    </row>
    <row r="5" spans="1:8" x14ac:dyDescent="0.45">
      <c r="A5" s="21" t="s">
        <v>153</v>
      </c>
      <c r="B5" s="21" t="s">
        <v>150</v>
      </c>
      <c r="C5" s="27" t="s">
        <v>216</v>
      </c>
      <c r="D5" s="63">
        <v>0</v>
      </c>
      <c r="E5" s="63">
        <v>300</v>
      </c>
      <c r="F5" s="63">
        <v>658</v>
      </c>
      <c r="G5" s="63">
        <f t="shared" si="0"/>
        <v>0.16838905775075985</v>
      </c>
      <c r="H5" s="63">
        <f t="shared" ref="H5:H12" si="1">MIN(0.01*(16+24*(2*D5+E5)/F5),0.93)</f>
        <v>0.2694224924012158</v>
      </c>
    </row>
    <row r="6" spans="1:8" x14ac:dyDescent="0.45">
      <c r="A6" s="21" t="s">
        <v>146</v>
      </c>
      <c r="B6" s="21" t="s">
        <v>150</v>
      </c>
      <c r="C6" s="27" t="s">
        <v>216</v>
      </c>
      <c r="D6" s="63">
        <v>2618</v>
      </c>
      <c r="E6" s="63">
        <v>1700</v>
      </c>
      <c r="F6" s="63">
        <v>1354</v>
      </c>
      <c r="G6" s="63">
        <f t="shared" si="0"/>
        <v>0.72</v>
      </c>
      <c r="H6" s="63">
        <f t="shared" si="1"/>
        <v>0.93</v>
      </c>
    </row>
    <row r="7" spans="1:8" x14ac:dyDescent="0.45">
      <c r="A7" s="21" t="s">
        <v>145</v>
      </c>
      <c r="B7" s="21" t="s">
        <v>150</v>
      </c>
      <c r="C7" s="27" t="s">
        <v>214</v>
      </c>
      <c r="D7" s="63">
        <v>525</v>
      </c>
      <c r="E7" s="63">
        <v>1700</v>
      </c>
      <c r="F7" s="63">
        <v>1060</v>
      </c>
      <c r="G7" s="63">
        <f t="shared" si="0"/>
        <v>0.48915094339622645</v>
      </c>
      <c r="H7" s="63">
        <f t="shared" si="1"/>
        <v>0.78264150943396238</v>
      </c>
    </row>
    <row r="8" spans="1:8" x14ac:dyDescent="0.45">
      <c r="A8" s="21" t="s">
        <v>113</v>
      </c>
      <c r="B8" s="21" t="s">
        <v>150</v>
      </c>
      <c r="C8" s="27" t="s">
        <v>214</v>
      </c>
      <c r="D8" s="63">
        <v>225</v>
      </c>
      <c r="E8" s="63">
        <v>1300</v>
      </c>
      <c r="F8" s="63">
        <v>900</v>
      </c>
      <c r="G8" s="63">
        <f t="shared" si="0"/>
        <v>0.39166666666666672</v>
      </c>
      <c r="H8" s="63">
        <f t="shared" si="1"/>
        <v>0.62666666666666671</v>
      </c>
    </row>
    <row r="9" spans="1:8" x14ac:dyDescent="0.45">
      <c r="A9" s="21" t="s">
        <v>121</v>
      </c>
      <c r="B9" s="21" t="s">
        <v>150</v>
      </c>
      <c r="C9" s="27" t="s">
        <v>216</v>
      </c>
      <c r="D9" s="63">
        <v>150</v>
      </c>
      <c r="E9" s="63">
        <v>1700</v>
      </c>
      <c r="F9" s="63">
        <v>658</v>
      </c>
      <c r="G9" s="63">
        <f t="shared" si="0"/>
        <v>0.55592705167173251</v>
      </c>
      <c r="H9" s="63">
        <f t="shared" si="1"/>
        <v>0.88948328267477206</v>
      </c>
    </row>
    <row r="10" spans="1:8" x14ac:dyDescent="0.45">
      <c r="A10" s="21" t="s">
        <v>152</v>
      </c>
      <c r="B10" s="21" t="s">
        <v>150</v>
      </c>
      <c r="C10" s="27" t="s">
        <v>216</v>
      </c>
      <c r="D10" s="63">
        <v>0</v>
      </c>
      <c r="E10" s="63">
        <v>300</v>
      </c>
      <c r="F10" s="63">
        <v>658</v>
      </c>
      <c r="G10" s="63">
        <f t="shared" si="0"/>
        <v>0.16838905775075985</v>
      </c>
      <c r="H10" s="63">
        <f t="shared" si="1"/>
        <v>0.2694224924012158</v>
      </c>
    </row>
    <row r="11" spans="1:8" x14ac:dyDescent="0.45">
      <c r="A11" s="21" t="s">
        <v>125</v>
      </c>
      <c r="B11" s="21" t="s">
        <v>150</v>
      </c>
      <c r="C11" s="27" t="s">
        <v>216</v>
      </c>
      <c r="D11" s="63">
        <v>150</v>
      </c>
      <c r="E11" s="63">
        <v>1300</v>
      </c>
      <c r="F11" s="63">
        <v>1354</v>
      </c>
      <c r="G11" s="63">
        <f t="shared" si="0"/>
        <v>0.27725258493353028</v>
      </c>
      <c r="H11" s="63">
        <f t="shared" si="1"/>
        <v>0.44360413589364844</v>
      </c>
    </row>
    <row r="12" spans="1:8" x14ac:dyDescent="0.45">
      <c r="A12" s="21" t="s">
        <v>128</v>
      </c>
      <c r="B12" s="21" t="s">
        <v>150</v>
      </c>
      <c r="C12" s="27" t="s">
        <v>214</v>
      </c>
      <c r="D12" s="63">
        <v>375</v>
      </c>
      <c r="E12" s="63">
        <v>1150</v>
      </c>
      <c r="F12" s="63">
        <v>900</v>
      </c>
      <c r="G12" s="63">
        <f t="shared" si="0"/>
        <v>0.41666666666666674</v>
      </c>
      <c r="H12" s="63">
        <f t="shared" si="1"/>
        <v>0.66666666666666663</v>
      </c>
    </row>
  </sheetData>
  <mergeCells count="2">
    <mergeCell ref="A1:A2"/>
    <mergeCell ref="B1:B2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opLeftCell="A4" workbookViewId="0">
      <selection activeCell="G22" sqref="G22"/>
    </sheetView>
  </sheetViews>
  <sheetFormatPr defaultRowHeight="15.75" x14ac:dyDescent="0.25"/>
  <cols>
    <col min="1" max="1" width="9" style="64"/>
    <col min="2" max="2" width="10.125" style="64" bestFit="1" customWidth="1"/>
    <col min="3" max="8" width="9" style="64"/>
    <col min="9" max="9" width="10.75" style="64" bestFit="1" customWidth="1"/>
    <col min="10" max="10" width="9" style="64"/>
    <col min="11" max="11" width="15" style="64" bestFit="1" customWidth="1"/>
    <col min="12" max="16384" width="9" style="64"/>
  </cols>
  <sheetData>
    <row r="2" spans="2:4" x14ac:dyDescent="0.25">
      <c r="C2" s="64" t="s">
        <v>229</v>
      </c>
      <c r="D2" s="64" t="s">
        <v>230</v>
      </c>
    </row>
    <row r="3" spans="2:4" x14ac:dyDescent="0.25">
      <c r="B3" s="64" t="s">
        <v>231</v>
      </c>
      <c r="C3" s="64">
        <f>SUM('不透明な部位（窓以外・ドアを含む）'!P47:P105)</f>
        <v>191.14464705882352</v>
      </c>
      <c r="D3" s="64">
        <v>180</v>
      </c>
    </row>
    <row r="4" spans="2:4" x14ac:dyDescent="0.25">
      <c r="B4" s="64" t="s">
        <v>227</v>
      </c>
      <c r="C4" s="64">
        <f>SUM('不透明な部位（窓以外・ドアを含む）'!P6:P39)</f>
        <v>318.22996120706796</v>
      </c>
      <c r="D4" s="64">
        <v>290</v>
      </c>
    </row>
    <row r="5" spans="2:4" x14ac:dyDescent="0.25">
      <c r="B5" s="64" t="s">
        <v>232</v>
      </c>
      <c r="C5" s="64">
        <f>SUM('透明な部位（窓）'!K37)</f>
        <v>154.36837500000001</v>
      </c>
      <c r="D5" s="64">
        <v>140</v>
      </c>
    </row>
    <row r="6" spans="2:4" x14ac:dyDescent="0.25">
      <c r="B6" s="64" t="s">
        <v>228</v>
      </c>
      <c r="C6" s="64">
        <f>SUM('不透明な部位（窓以外・ドアを含む）'!P40:P45)</f>
        <v>41.2600653588824</v>
      </c>
      <c r="D6" s="64">
        <v>38</v>
      </c>
    </row>
    <row r="7" spans="2:4" x14ac:dyDescent="0.25">
      <c r="B7" s="64" t="s">
        <v>137</v>
      </c>
      <c r="C7" s="64">
        <f>SUM(地盤!J6:J9)</f>
        <v>32.418900000000001</v>
      </c>
      <c r="D7" s="64">
        <v>25</v>
      </c>
    </row>
    <row r="19" spans="3:14" x14ac:dyDescent="0.25">
      <c r="I19" s="64">
        <v>3600</v>
      </c>
      <c r="J19" s="64" t="s">
        <v>235</v>
      </c>
      <c r="K19" s="64">
        <v>1</v>
      </c>
      <c r="L19" s="64" t="s">
        <v>234</v>
      </c>
    </row>
    <row r="20" spans="3:14" x14ac:dyDescent="0.25">
      <c r="G20" s="64">
        <v>33.4</v>
      </c>
      <c r="H20" s="64" t="s">
        <v>236</v>
      </c>
      <c r="I20" s="64">
        <f>G20*1000000</f>
        <v>33400000</v>
      </c>
      <c r="J20" s="64" t="s">
        <v>237</v>
      </c>
      <c r="K20" s="64">
        <f>I20/3600</f>
        <v>9277.7777777777774</v>
      </c>
      <c r="L20" s="64" t="s">
        <v>238</v>
      </c>
      <c r="M20" s="64">
        <f>K20*23</f>
        <v>213388.88888888888</v>
      </c>
      <c r="N20" s="64" t="s">
        <v>239</v>
      </c>
    </row>
    <row r="22" spans="3:14" x14ac:dyDescent="0.25">
      <c r="C22" s="64">
        <v>33.4</v>
      </c>
      <c r="D22" s="64" t="s">
        <v>233</v>
      </c>
      <c r="E22" s="64">
        <f>C22*1000*1000/3600</f>
        <v>9277.7777777777774</v>
      </c>
      <c r="F22" s="64" t="s">
        <v>240</v>
      </c>
      <c r="G22" s="64">
        <f>E22*26</f>
        <v>241222.22222222222</v>
      </c>
      <c r="H22" s="64" t="s">
        <v>239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合計</vt:lpstr>
      <vt:lpstr>不透明な部位（窓以外・ドアを含む）</vt:lpstr>
      <vt:lpstr>透明な部位（窓）</vt:lpstr>
      <vt:lpstr>地盤</vt:lpstr>
      <vt:lpstr>断面構成リスト</vt:lpstr>
      <vt:lpstr>断面構成詳細</vt:lpstr>
      <vt:lpstr>日除け効果係数</vt:lpstr>
      <vt:lpstr>グラフ</vt:lpstr>
      <vt:lpstr>合計!Print_Area</vt:lpstr>
      <vt:lpstr>'不透明な部位（窓以外・ドアを含む）'!Print_Area</vt:lpstr>
      <vt:lpstr>断面構成詳細!Print_Titles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2015-07-20T05:59:27Z</dcterms:modified>
</cp:coreProperties>
</file>