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60"/>
  </bookViews>
  <sheets>
    <sheet name="合計" sheetId="4" r:id="rId1"/>
    <sheet name="不透明な部位（窓以外・ドアを含む）" sheetId="1" r:id="rId2"/>
    <sheet name="透明な部位（窓）" sheetId="3" r:id="rId3"/>
    <sheet name="地盤" sheetId="2" r:id="rId4"/>
    <sheet name="(内部データ)日除け効果" sheetId="6" r:id="rId5"/>
    <sheet name="(内部データ)基準値" sheetId="5" r:id="rId6"/>
  </sheets>
  <definedNames>
    <definedName name="_xlnm._FilterDatabase" localSheetId="1" hidden="1">'不透明な部位（窓以外・ドアを含む）'!$D$2:$D$107</definedName>
    <definedName name="_xlnm.Print_Area" localSheetId="0">合計!$A$1:$I$21</definedName>
    <definedName name="_xlnm.Print_Area" localSheetId="3">地盤!$A$1:$K$20</definedName>
    <definedName name="_xlnm.Print_Area" localSheetId="1">'不透明な部位（窓以外・ドアを含む）'!$A$1:$W$113</definedName>
    <definedName name="方位">'(内部データ)日除け効果'!$B$3:$B$10</definedName>
  </definedNames>
  <calcPr calcId="152511"/>
</workbook>
</file>

<file path=xl/calcChain.xml><?xml version="1.0" encoding="utf-8"?>
<calcChain xmlns="http://schemas.openxmlformats.org/spreadsheetml/2006/main"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6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D20" i="4"/>
  <c r="F20" i="4"/>
  <c r="C14" i="4"/>
  <c r="J20" i="2"/>
  <c r="O35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N14" i="4" l="1"/>
  <c r="M14" i="4"/>
  <c r="C13" i="4"/>
  <c r="D13" i="4"/>
  <c r="L13" i="4" s="1"/>
  <c r="H13" i="4" l="1"/>
  <c r="X18" i="3" l="1"/>
  <c r="X22" i="3"/>
  <c r="X26" i="3"/>
  <c r="S22" i="3"/>
  <c r="S30" i="3"/>
  <c r="S34" i="3"/>
  <c r="G37" i="3"/>
  <c r="I37" i="3"/>
  <c r="V16" i="3"/>
  <c r="V17" i="3"/>
  <c r="V18" i="3"/>
  <c r="V19" i="3"/>
  <c r="V20" i="3"/>
  <c r="V21" i="3"/>
  <c r="V22" i="3"/>
  <c r="V23" i="3"/>
  <c r="V24" i="3"/>
  <c r="V25" i="3"/>
  <c r="V26" i="3"/>
  <c r="V27" i="3"/>
  <c r="X27" i="3" s="1"/>
  <c r="V28" i="3"/>
  <c r="V29" i="3"/>
  <c r="V30" i="3"/>
  <c r="V31" i="3"/>
  <c r="V32" i="3"/>
  <c r="V33" i="3"/>
  <c r="V34" i="3"/>
  <c r="V35" i="3"/>
  <c r="X16" i="3"/>
  <c r="X17" i="3"/>
  <c r="X19" i="3"/>
  <c r="X20" i="3"/>
  <c r="X21" i="3"/>
  <c r="X23" i="3"/>
  <c r="X24" i="3"/>
  <c r="X25" i="3"/>
  <c r="X28" i="3"/>
  <c r="X29" i="3"/>
  <c r="X30" i="3"/>
  <c r="X31" i="3"/>
  <c r="X32" i="3"/>
  <c r="X33" i="3"/>
  <c r="X34" i="3"/>
  <c r="X35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7" i="3"/>
  <c r="T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O7" i="3"/>
  <c r="O6" i="3"/>
  <c r="S16" i="3"/>
  <c r="S18" i="3"/>
  <c r="S20" i="3"/>
  <c r="S24" i="3"/>
  <c r="S26" i="3"/>
  <c r="S27" i="3"/>
  <c r="S28" i="3"/>
  <c r="S32" i="3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M112" i="1"/>
  <c r="D12" i="4" s="1"/>
  <c r="L12" i="4" s="1"/>
  <c r="R112" i="1"/>
  <c r="E12" i="4" s="1"/>
  <c r="M12" i="4" s="1"/>
  <c r="V112" i="1"/>
  <c r="F12" i="4" s="1"/>
  <c r="N12" i="4" s="1"/>
  <c r="I112" i="1"/>
  <c r="C12" i="4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I63" i="1"/>
  <c r="K63" i="1" s="1"/>
  <c r="I64" i="1"/>
  <c r="K64" i="1" s="1"/>
  <c r="T64" i="1" s="1"/>
  <c r="I65" i="1"/>
  <c r="K65" i="1" s="1"/>
  <c r="I66" i="1"/>
  <c r="K66" i="1" s="1"/>
  <c r="I67" i="1"/>
  <c r="K67" i="1" s="1"/>
  <c r="I68" i="1"/>
  <c r="K68" i="1" s="1"/>
  <c r="T68" i="1" s="1"/>
  <c r="I69" i="1"/>
  <c r="K69" i="1" s="1"/>
  <c r="I70" i="1"/>
  <c r="K70" i="1" s="1"/>
  <c r="I71" i="1"/>
  <c r="K71" i="1" s="1"/>
  <c r="I72" i="1"/>
  <c r="K72" i="1" s="1"/>
  <c r="T72" i="1" s="1"/>
  <c r="I73" i="1"/>
  <c r="K73" i="1" s="1"/>
  <c r="I74" i="1"/>
  <c r="K74" i="1" s="1"/>
  <c r="I75" i="1"/>
  <c r="K75" i="1" s="1"/>
  <c r="I76" i="1"/>
  <c r="K76" i="1" s="1"/>
  <c r="T76" i="1" s="1"/>
  <c r="I77" i="1"/>
  <c r="K77" i="1" s="1"/>
  <c r="I78" i="1"/>
  <c r="K78" i="1" s="1"/>
  <c r="I79" i="1"/>
  <c r="K79" i="1" s="1"/>
  <c r="I80" i="1"/>
  <c r="K80" i="1" s="1"/>
  <c r="T80" i="1" s="1"/>
  <c r="I81" i="1"/>
  <c r="K81" i="1" s="1"/>
  <c r="I82" i="1"/>
  <c r="K82" i="1" s="1"/>
  <c r="I83" i="1"/>
  <c r="K83" i="1" s="1"/>
  <c r="T83" i="1" s="1"/>
  <c r="I84" i="1"/>
  <c r="K84" i="1" s="1"/>
  <c r="T84" i="1" s="1"/>
  <c r="I85" i="1"/>
  <c r="K85" i="1" s="1"/>
  <c r="I86" i="1"/>
  <c r="K86" i="1" s="1"/>
  <c r="I87" i="1"/>
  <c r="K87" i="1" s="1"/>
  <c r="I88" i="1"/>
  <c r="K88" i="1" s="1"/>
  <c r="T88" i="1" s="1"/>
  <c r="I89" i="1"/>
  <c r="K89" i="1" s="1"/>
  <c r="I90" i="1"/>
  <c r="K90" i="1" s="1"/>
  <c r="I91" i="1"/>
  <c r="K91" i="1" s="1"/>
  <c r="T91" i="1" s="1"/>
  <c r="I92" i="1"/>
  <c r="K92" i="1" s="1"/>
  <c r="T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T100" i="1" s="1"/>
  <c r="I101" i="1"/>
  <c r="K101" i="1" s="1"/>
  <c r="I102" i="1"/>
  <c r="K102" i="1" s="1"/>
  <c r="I103" i="1"/>
  <c r="K103" i="1" s="1"/>
  <c r="I104" i="1"/>
  <c r="K104" i="1" s="1"/>
  <c r="T104" i="1" s="1"/>
  <c r="I105" i="1"/>
  <c r="K105" i="1" s="1"/>
  <c r="I62" i="1"/>
  <c r="K62" i="1" s="1"/>
  <c r="I61" i="1"/>
  <c r="K61" i="1" s="1"/>
  <c r="P61" i="1" s="1"/>
  <c r="I60" i="1"/>
  <c r="K60" i="1" s="1"/>
  <c r="T60" i="1" s="1"/>
  <c r="I59" i="1"/>
  <c r="K59" i="1" s="1"/>
  <c r="I58" i="1"/>
  <c r="K58" i="1" s="1"/>
  <c r="I57" i="1"/>
  <c r="K57" i="1" s="1"/>
  <c r="I56" i="1"/>
  <c r="K56" i="1" s="1"/>
  <c r="T56" i="1" s="1"/>
  <c r="I55" i="1"/>
  <c r="K55" i="1" s="1"/>
  <c r="I54" i="1"/>
  <c r="K54" i="1" s="1"/>
  <c r="I53" i="1"/>
  <c r="K53" i="1" s="1"/>
  <c r="P53" i="1" s="1"/>
  <c r="I52" i="1"/>
  <c r="K52" i="1" s="1"/>
  <c r="T52" i="1" s="1"/>
  <c r="V84" i="1" l="1"/>
  <c r="V104" i="1"/>
  <c r="V68" i="1"/>
  <c r="V64" i="1"/>
  <c r="V60" i="1"/>
  <c r="V56" i="1"/>
  <c r="V52" i="1"/>
  <c r="J12" i="4"/>
  <c r="I12" i="4"/>
  <c r="H12" i="4"/>
  <c r="V92" i="1"/>
  <c r="V88" i="1"/>
  <c r="V76" i="1"/>
  <c r="V72" i="1"/>
  <c r="M56" i="1"/>
  <c r="T96" i="1"/>
  <c r="V96" i="1" s="1"/>
  <c r="P96" i="1"/>
  <c r="V100" i="1"/>
  <c r="V80" i="1"/>
  <c r="P64" i="1"/>
  <c r="R64" i="1" s="1"/>
  <c r="M64" i="1"/>
  <c r="S33" i="3"/>
  <c r="S29" i="3"/>
  <c r="S25" i="3"/>
  <c r="S21" i="3"/>
  <c r="S17" i="3"/>
  <c r="S35" i="3"/>
  <c r="S31" i="3"/>
  <c r="S23" i="3"/>
  <c r="S19" i="3"/>
  <c r="M96" i="1"/>
  <c r="P56" i="1"/>
  <c r="R56" i="1" s="1"/>
  <c r="V91" i="1"/>
  <c r="M88" i="1"/>
  <c r="V83" i="1"/>
  <c r="R96" i="1"/>
  <c r="P88" i="1"/>
  <c r="R88" i="1" s="1"/>
  <c r="P67" i="1"/>
  <c r="R67" i="1" s="1"/>
  <c r="T67" i="1"/>
  <c r="M80" i="1"/>
  <c r="R61" i="1"/>
  <c r="R53" i="1"/>
  <c r="P80" i="1"/>
  <c r="R80" i="1" s="1"/>
  <c r="M104" i="1"/>
  <c r="M72" i="1"/>
  <c r="P104" i="1"/>
  <c r="R104" i="1" s="1"/>
  <c r="P72" i="1"/>
  <c r="R72" i="1" s="1"/>
  <c r="P58" i="1"/>
  <c r="R58" i="1" s="1"/>
  <c r="M58" i="1"/>
  <c r="T58" i="1"/>
  <c r="V58" i="1" s="1"/>
  <c r="P62" i="1"/>
  <c r="R62" i="1" s="1"/>
  <c r="M62" i="1"/>
  <c r="T62" i="1"/>
  <c r="V62" i="1" s="1"/>
  <c r="P94" i="1"/>
  <c r="R94" i="1" s="1"/>
  <c r="M94" i="1"/>
  <c r="T94" i="1"/>
  <c r="V94" i="1" s="1"/>
  <c r="P82" i="1"/>
  <c r="R82" i="1" s="1"/>
  <c r="M82" i="1"/>
  <c r="T82" i="1"/>
  <c r="V82" i="1" s="1"/>
  <c r="P74" i="1"/>
  <c r="R74" i="1" s="1"/>
  <c r="M74" i="1"/>
  <c r="T74" i="1"/>
  <c r="V74" i="1" s="1"/>
  <c r="M105" i="1"/>
  <c r="T105" i="1"/>
  <c r="V105" i="1" s="1"/>
  <c r="P105" i="1"/>
  <c r="R105" i="1" s="1"/>
  <c r="M89" i="1"/>
  <c r="T89" i="1"/>
  <c r="V89" i="1" s="1"/>
  <c r="P89" i="1"/>
  <c r="R89" i="1" s="1"/>
  <c r="M73" i="1"/>
  <c r="T73" i="1"/>
  <c r="V73" i="1" s="1"/>
  <c r="P73" i="1"/>
  <c r="R73" i="1" s="1"/>
  <c r="P63" i="1"/>
  <c r="R63" i="1" s="1"/>
  <c r="T63" i="1"/>
  <c r="V63" i="1" s="1"/>
  <c r="M63" i="1"/>
  <c r="M65" i="1"/>
  <c r="T65" i="1"/>
  <c r="V65" i="1" s="1"/>
  <c r="P65" i="1"/>
  <c r="R65" i="1" s="1"/>
  <c r="P102" i="1"/>
  <c r="R102" i="1" s="1"/>
  <c r="M102" i="1"/>
  <c r="T102" i="1"/>
  <c r="V102" i="1" s="1"/>
  <c r="P90" i="1"/>
  <c r="R90" i="1" s="1"/>
  <c r="M90" i="1"/>
  <c r="T90" i="1"/>
  <c r="V90" i="1" s="1"/>
  <c r="P78" i="1"/>
  <c r="R78" i="1" s="1"/>
  <c r="M78" i="1"/>
  <c r="T78" i="1"/>
  <c r="V78" i="1" s="1"/>
  <c r="P66" i="1"/>
  <c r="R66" i="1" s="1"/>
  <c r="M66" i="1"/>
  <c r="T66" i="1"/>
  <c r="V66" i="1" s="1"/>
  <c r="M81" i="1"/>
  <c r="T81" i="1"/>
  <c r="V81" i="1" s="1"/>
  <c r="P81" i="1"/>
  <c r="R81" i="1" s="1"/>
  <c r="P59" i="1"/>
  <c r="R59" i="1" s="1"/>
  <c r="M59" i="1"/>
  <c r="T59" i="1"/>
  <c r="V59" i="1" s="1"/>
  <c r="P55" i="1"/>
  <c r="R55" i="1" s="1"/>
  <c r="M55" i="1"/>
  <c r="T55" i="1"/>
  <c r="V55" i="1" s="1"/>
  <c r="M101" i="1"/>
  <c r="T101" i="1"/>
  <c r="V101" i="1" s="1"/>
  <c r="P101" i="1"/>
  <c r="R101" i="1" s="1"/>
  <c r="M93" i="1"/>
  <c r="T93" i="1"/>
  <c r="V93" i="1" s="1"/>
  <c r="P93" i="1"/>
  <c r="R93" i="1" s="1"/>
  <c r="M85" i="1"/>
  <c r="T85" i="1"/>
  <c r="V85" i="1" s="1"/>
  <c r="P85" i="1"/>
  <c r="R85" i="1" s="1"/>
  <c r="M77" i="1"/>
  <c r="T77" i="1"/>
  <c r="V77" i="1" s="1"/>
  <c r="P77" i="1"/>
  <c r="R77" i="1" s="1"/>
  <c r="M69" i="1"/>
  <c r="T69" i="1"/>
  <c r="V69" i="1" s="1"/>
  <c r="P69" i="1"/>
  <c r="R69" i="1" s="1"/>
  <c r="P54" i="1"/>
  <c r="R54" i="1" s="1"/>
  <c r="M54" i="1"/>
  <c r="T54" i="1"/>
  <c r="V54" i="1" s="1"/>
  <c r="P98" i="1"/>
  <c r="R98" i="1" s="1"/>
  <c r="M98" i="1"/>
  <c r="T98" i="1"/>
  <c r="V98" i="1" s="1"/>
  <c r="P86" i="1"/>
  <c r="R86" i="1" s="1"/>
  <c r="M86" i="1"/>
  <c r="T86" i="1"/>
  <c r="V86" i="1" s="1"/>
  <c r="P70" i="1"/>
  <c r="M70" i="1"/>
  <c r="T70" i="1"/>
  <c r="V70" i="1" s="1"/>
  <c r="M97" i="1"/>
  <c r="T97" i="1"/>
  <c r="V97" i="1" s="1"/>
  <c r="P97" i="1"/>
  <c r="R97" i="1" s="1"/>
  <c r="P103" i="1"/>
  <c r="R103" i="1" s="1"/>
  <c r="T103" i="1"/>
  <c r="V103" i="1" s="1"/>
  <c r="M103" i="1"/>
  <c r="P99" i="1"/>
  <c r="R99" i="1" s="1"/>
  <c r="M99" i="1"/>
  <c r="P95" i="1"/>
  <c r="R95" i="1" s="1"/>
  <c r="M95" i="1"/>
  <c r="T95" i="1"/>
  <c r="V95" i="1" s="1"/>
  <c r="P91" i="1"/>
  <c r="R91" i="1" s="1"/>
  <c r="M91" i="1"/>
  <c r="P87" i="1"/>
  <c r="R87" i="1" s="1"/>
  <c r="T87" i="1"/>
  <c r="V87" i="1" s="1"/>
  <c r="M87" i="1"/>
  <c r="P83" i="1"/>
  <c r="R83" i="1" s="1"/>
  <c r="M83" i="1"/>
  <c r="P79" i="1"/>
  <c r="R79" i="1" s="1"/>
  <c r="M79" i="1"/>
  <c r="T79" i="1"/>
  <c r="V79" i="1" s="1"/>
  <c r="P75" i="1"/>
  <c r="R75" i="1" s="1"/>
  <c r="M75" i="1"/>
  <c r="T75" i="1"/>
  <c r="V75" i="1" s="1"/>
  <c r="P71" i="1"/>
  <c r="R71" i="1" s="1"/>
  <c r="T71" i="1"/>
  <c r="V71" i="1" s="1"/>
  <c r="M71" i="1"/>
  <c r="T99" i="1"/>
  <c r="V99" i="1" s="1"/>
  <c r="M100" i="1"/>
  <c r="M92" i="1"/>
  <c r="M84" i="1"/>
  <c r="M76" i="1"/>
  <c r="M68" i="1"/>
  <c r="M60" i="1"/>
  <c r="M52" i="1"/>
  <c r="P100" i="1"/>
  <c r="R100" i="1" s="1"/>
  <c r="P92" i="1"/>
  <c r="R92" i="1" s="1"/>
  <c r="P84" i="1"/>
  <c r="R84" i="1" s="1"/>
  <c r="P76" i="1"/>
  <c r="R76" i="1" s="1"/>
  <c r="P68" i="1"/>
  <c r="R68" i="1" s="1"/>
  <c r="P60" i="1"/>
  <c r="R60" i="1" s="1"/>
  <c r="P52" i="1"/>
  <c r="R52" i="1" s="1"/>
  <c r="V67" i="1"/>
  <c r="M53" i="1"/>
  <c r="T53" i="1"/>
  <c r="V53" i="1" s="1"/>
  <c r="M57" i="1"/>
  <c r="T57" i="1"/>
  <c r="V57" i="1" s="1"/>
  <c r="M61" i="1"/>
  <c r="T61" i="1"/>
  <c r="V61" i="1" s="1"/>
  <c r="M67" i="1"/>
  <c r="R70" i="1"/>
  <c r="P57" i="1"/>
  <c r="R57" i="1" s="1"/>
  <c r="S50" i="1" l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" i="1"/>
  <c r="O6" i="1"/>
  <c r="G7" i="2" l="1"/>
  <c r="F20" i="1" l="1"/>
  <c r="I20" i="1" s="1"/>
  <c r="K20" i="1" s="1"/>
  <c r="P20" i="1" s="1"/>
  <c r="F19" i="1"/>
  <c r="H15" i="1"/>
  <c r="M20" i="1" l="1"/>
  <c r="T20" i="1"/>
  <c r="V20" i="1" s="1"/>
  <c r="R20" i="1"/>
  <c r="E15" i="3" l="1"/>
  <c r="E14" i="3"/>
  <c r="E13" i="3"/>
  <c r="E12" i="3"/>
  <c r="E11" i="3"/>
  <c r="E10" i="3"/>
  <c r="E9" i="3"/>
  <c r="E8" i="3"/>
  <c r="E7" i="3"/>
  <c r="E6" i="3"/>
  <c r="E9" i="2"/>
  <c r="G9" i="2" s="1"/>
  <c r="E8" i="2"/>
  <c r="G8" i="2" s="1"/>
  <c r="E6" i="2"/>
  <c r="G6" i="2" s="1"/>
  <c r="G51" i="1"/>
  <c r="I51" i="1" s="1"/>
  <c r="K51" i="1" s="1"/>
  <c r="F50" i="1"/>
  <c r="G49" i="1"/>
  <c r="I49" i="1" s="1"/>
  <c r="K49" i="1" s="1"/>
  <c r="F49" i="1"/>
  <c r="F48" i="1"/>
  <c r="I48" i="1" s="1"/>
  <c r="K48" i="1" s="1"/>
  <c r="P48" i="1" s="1"/>
  <c r="I50" i="1"/>
  <c r="K50" i="1" s="1"/>
  <c r="F47" i="1"/>
  <c r="I47" i="1" s="1"/>
  <c r="G46" i="1"/>
  <c r="I46" i="1" s="1"/>
  <c r="F45" i="1"/>
  <c r="I45" i="1" s="1"/>
  <c r="K45" i="1" s="1"/>
  <c r="P45" i="1" s="1"/>
  <c r="I43" i="1"/>
  <c r="K43" i="1" s="1"/>
  <c r="P43" i="1" s="1"/>
  <c r="I44" i="1"/>
  <c r="K44" i="1" s="1"/>
  <c r="P44" i="1" s="1"/>
  <c r="I41" i="1"/>
  <c r="K41" i="1" s="1"/>
  <c r="P41" i="1" s="1"/>
  <c r="I42" i="1"/>
  <c r="K42" i="1" s="1"/>
  <c r="P42" i="1" s="1"/>
  <c r="F40" i="1"/>
  <c r="I40" i="1" s="1"/>
  <c r="I19" i="1"/>
  <c r="K19" i="1" s="1"/>
  <c r="P19" i="1" s="1"/>
  <c r="H21" i="1"/>
  <c r="I21" i="1" s="1"/>
  <c r="K21" i="1" s="1"/>
  <c r="P21" i="1" s="1"/>
  <c r="I18" i="1"/>
  <c r="K18" i="1" s="1"/>
  <c r="P18" i="1" s="1"/>
  <c r="H39" i="1"/>
  <c r="I39" i="1" s="1"/>
  <c r="K39" i="1" s="1"/>
  <c r="P39" i="1" s="1"/>
  <c r="I38" i="1"/>
  <c r="K38" i="1" s="1"/>
  <c r="P38" i="1" s="1"/>
  <c r="F37" i="1"/>
  <c r="I37" i="1" s="1"/>
  <c r="H36" i="1"/>
  <c r="I36" i="1" s="1"/>
  <c r="K36" i="1" s="1"/>
  <c r="P36" i="1" s="1"/>
  <c r="I35" i="1"/>
  <c r="K35" i="1" s="1"/>
  <c r="P35" i="1" s="1"/>
  <c r="H34" i="1"/>
  <c r="I34" i="1" s="1"/>
  <c r="K34" i="1" s="1"/>
  <c r="P34" i="1" s="1"/>
  <c r="I33" i="1"/>
  <c r="K33" i="1" s="1"/>
  <c r="P33" i="1" s="1"/>
  <c r="G32" i="1"/>
  <c r="I32" i="1" s="1"/>
  <c r="K32" i="1" s="1"/>
  <c r="P32" i="1" s="1"/>
  <c r="I28" i="1"/>
  <c r="K28" i="1" s="1"/>
  <c r="P28" i="1" s="1"/>
  <c r="I29" i="1"/>
  <c r="K29" i="1" s="1"/>
  <c r="P29" i="1" s="1"/>
  <c r="I30" i="1"/>
  <c r="K30" i="1" s="1"/>
  <c r="P30" i="1" s="1"/>
  <c r="I31" i="1"/>
  <c r="K31" i="1" s="1"/>
  <c r="P31" i="1" s="1"/>
  <c r="I27" i="1"/>
  <c r="K27" i="1" s="1"/>
  <c r="P27" i="1" s="1"/>
  <c r="G26" i="1"/>
  <c r="I26" i="1" s="1"/>
  <c r="K26" i="1" s="1"/>
  <c r="P26" i="1" s="1"/>
  <c r="H25" i="1"/>
  <c r="I25" i="1" s="1"/>
  <c r="K25" i="1" s="1"/>
  <c r="P25" i="1" s="1"/>
  <c r="H6" i="1"/>
  <c r="I6" i="1" s="1"/>
  <c r="I8" i="1"/>
  <c r="K8" i="1" s="1"/>
  <c r="P8" i="1" s="1"/>
  <c r="H24" i="1"/>
  <c r="G24" i="1"/>
  <c r="H23" i="1"/>
  <c r="I23" i="1" s="1"/>
  <c r="K23" i="1" s="1"/>
  <c r="P23" i="1" s="1"/>
  <c r="F22" i="1"/>
  <c r="I22" i="1" s="1"/>
  <c r="K22" i="1" s="1"/>
  <c r="P22" i="1" s="1"/>
  <c r="H17" i="1"/>
  <c r="G17" i="1"/>
  <c r="G16" i="1"/>
  <c r="F16" i="1"/>
  <c r="G15" i="1"/>
  <c r="I15" i="1" s="1"/>
  <c r="K15" i="1" s="1"/>
  <c r="P15" i="1" s="1"/>
  <c r="G14" i="1"/>
  <c r="I14" i="1" s="1"/>
  <c r="K14" i="1" s="1"/>
  <c r="P14" i="1" s="1"/>
  <c r="I13" i="1"/>
  <c r="K13" i="1" s="1"/>
  <c r="P13" i="1" s="1"/>
  <c r="I12" i="1"/>
  <c r="K12" i="1" s="1"/>
  <c r="P12" i="1" s="1"/>
  <c r="I11" i="1"/>
  <c r="K11" i="1" s="1"/>
  <c r="P11" i="1" s="1"/>
  <c r="I10" i="1"/>
  <c r="K10" i="1" s="1"/>
  <c r="P10" i="1" s="1"/>
  <c r="I7" i="1"/>
  <c r="K7" i="1" s="1"/>
  <c r="P7" i="1" s="1"/>
  <c r="I9" i="1"/>
  <c r="K9" i="1" s="1"/>
  <c r="P9" i="1" s="1"/>
  <c r="G20" i="2" l="1"/>
  <c r="D14" i="4" s="1"/>
  <c r="I17" i="1"/>
  <c r="K17" i="1" s="1"/>
  <c r="P17" i="1" s="1"/>
  <c r="I24" i="1"/>
  <c r="K24" i="1" s="1"/>
  <c r="P24" i="1" s="1"/>
  <c r="I109" i="1"/>
  <c r="C9" i="4" s="1"/>
  <c r="G12" i="3"/>
  <c r="V12" i="3" s="1"/>
  <c r="X12" i="3" s="1"/>
  <c r="Q12" i="3"/>
  <c r="G9" i="3"/>
  <c r="Q9" i="3"/>
  <c r="S9" i="3" s="1"/>
  <c r="G13" i="3"/>
  <c r="V13" i="3" s="1"/>
  <c r="X13" i="3" s="1"/>
  <c r="Q13" i="3"/>
  <c r="G6" i="3"/>
  <c r="Q6" i="3"/>
  <c r="S6" i="3" s="1"/>
  <c r="G10" i="3"/>
  <c r="I10" i="3" s="1"/>
  <c r="Q10" i="3"/>
  <c r="G14" i="3"/>
  <c r="Q14" i="3"/>
  <c r="S14" i="3" s="1"/>
  <c r="G8" i="3"/>
  <c r="Q8" i="3"/>
  <c r="G7" i="3"/>
  <c r="Q7" i="3"/>
  <c r="S7" i="3" s="1"/>
  <c r="G11" i="3"/>
  <c r="Q11" i="3"/>
  <c r="G15" i="3"/>
  <c r="Q15" i="3"/>
  <c r="S15" i="3" s="1"/>
  <c r="I12" i="3"/>
  <c r="S12" i="3"/>
  <c r="I9" i="3"/>
  <c r="V9" i="3"/>
  <c r="X9" i="3" s="1"/>
  <c r="I13" i="3"/>
  <c r="S13" i="3"/>
  <c r="V6" i="3"/>
  <c r="X6" i="3" s="1"/>
  <c r="I6" i="3"/>
  <c r="V10" i="3"/>
  <c r="X10" i="3" s="1"/>
  <c r="S10" i="3"/>
  <c r="V14" i="3"/>
  <c r="X14" i="3" s="1"/>
  <c r="I14" i="3"/>
  <c r="V8" i="3"/>
  <c r="X8" i="3" s="1"/>
  <c r="S8" i="3"/>
  <c r="I8" i="3"/>
  <c r="V7" i="3"/>
  <c r="X7" i="3" s="1"/>
  <c r="I7" i="3"/>
  <c r="I11" i="3"/>
  <c r="V11" i="3"/>
  <c r="X11" i="3" s="1"/>
  <c r="S11" i="3"/>
  <c r="I15" i="3"/>
  <c r="V15" i="3"/>
  <c r="X15" i="3" s="1"/>
  <c r="K37" i="1"/>
  <c r="P37" i="1" s="1"/>
  <c r="I108" i="1"/>
  <c r="C8" i="4" s="1"/>
  <c r="K40" i="1"/>
  <c r="P40" i="1" s="1"/>
  <c r="R40" i="1" s="1"/>
  <c r="I110" i="1"/>
  <c r="C10" i="4" s="1"/>
  <c r="K6" i="1"/>
  <c r="I16" i="1"/>
  <c r="K16" i="1" s="1"/>
  <c r="P16" i="1" s="1"/>
  <c r="R16" i="1" s="1"/>
  <c r="K46" i="1"/>
  <c r="P46" i="1" s="1"/>
  <c r="R46" i="1" s="1"/>
  <c r="R111" i="1" s="1"/>
  <c r="E11" i="4" s="1"/>
  <c r="M11" i="4" s="1"/>
  <c r="I111" i="1"/>
  <c r="C11" i="4" s="1"/>
  <c r="P50" i="1"/>
  <c r="R50" i="1" s="1"/>
  <c r="M50" i="1"/>
  <c r="P51" i="1"/>
  <c r="R51" i="1" s="1"/>
  <c r="M51" i="1"/>
  <c r="T51" i="1"/>
  <c r="V51" i="1" s="1"/>
  <c r="M49" i="1"/>
  <c r="P49" i="1"/>
  <c r="R49" i="1" s="1"/>
  <c r="M22" i="1"/>
  <c r="R22" i="1"/>
  <c r="T22" i="1"/>
  <c r="V22" i="1" s="1"/>
  <c r="M45" i="1"/>
  <c r="T45" i="1"/>
  <c r="V45" i="1" s="1"/>
  <c r="R45" i="1"/>
  <c r="M26" i="1"/>
  <c r="R26" i="1"/>
  <c r="T26" i="1"/>
  <c r="V26" i="1" s="1"/>
  <c r="M36" i="1"/>
  <c r="T36" i="1"/>
  <c r="V36" i="1" s="1"/>
  <c r="R36" i="1"/>
  <c r="M15" i="1"/>
  <c r="T15" i="1"/>
  <c r="V15" i="1" s="1"/>
  <c r="R15" i="1"/>
  <c r="M24" i="1"/>
  <c r="T24" i="1"/>
  <c r="V24" i="1" s="1"/>
  <c r="R24" i="1"/>
  <c r="M12" i="1"/>
  <c r="T12" i="1"/>
  <c r="V12" i="1" s="1"/>
  <c r="R12" i="1"/>
  <c r="M6" i="1"/>
  <c r="T6" i="1"/>
  <c r="V6" i="1" s="1"/>
  <c r="P6" i="1"/>
  <c r="R6" i="1" s="1"/>
  <c r="M29" i="1"/>
  <c r="T29" i="1"/>
  <c r="V29" i="1" s="1"/>
  <c r="R29" i="1"/>
  <c r="M32" i="1"/>
  <c r="T32" i="1"/>
  <c r="V32" i="1" s="1"/>
  <c r="R32" i="1"/>
  <c r="M38" i="1"/>
  <c r="R38" i="1"/>
  <c r="T38" i="1"/>
  <c r="V38" i="1" s="1"/>
  <c r="M21" i="1"/>
  <c r="T21" i="1"/>
  <c r="V21" i="1" s="1"/>
  <c r="R21" i="1"/>
  <c r="M42" i="1"/>
  <c r="R42" i="1"/>
  <c r="T42" i="1"/>
  <c r="V42" i="1" s="1"/>
  <c r="M14" i="1"/>
  <c r="R14" i="1"/>
  <c r="T14" i="1"/>
  <c r="V14" i="1" s="1"/>
  <c r="M7" i="1"/>
  <c r="T7" i="1"/>
  <c r="V7" i="1" s="1"/>
  <c r="R7" i="1"/>
  <c r="M13" i="1"/>
  <c r="T13" i="1"/>
  <c r="V13" i="1" s="1"/>
  <c r="R13" i="1"/>
  <c r="M27" i="1"/>
  <c r="T27" i="1"/>
  <c r="V27" i="1" s="1"/>
  <c r="R27" i="1"/>
  <c r="M28" i="1"/>
  <c r="T28" i="1"/>
  <c r="V28" i="1" s="1"/>
  <c r="R28" i="1"/>
  <c r="M19" i="1"/>
  <c r="T19" i="1"/>
  <c r="V19" i="1" s="1"/>
  <c r="R19" i="1"/>
  <c r="M41" i="1"/>
  <c r="T41" i="1"/>
  <c r="V41" i="1" s="1"/>
  <c r="R41" i="1"/>
  <c r="M9" i="1"/>
  <c r="T9" i="1"/>
  <c r="V9" i="1" s="1"/>
  <c r="R9" i="1"/>
  <c r="M10" i="1"/>
  <c r="R10" i="1"/>
  <c r="T10" i="1"/>
  <c r="V10" i="1" s="1"/>
  <c r="M25" i="1"/>
  <c r="T25" i="1"/>
  <c r="V25" i="1" s="1"/>
  <c r="R25" i="1"/>
  <c r="M31" i="1"/>
  <c r="T31" i="1"/>
  <c r="V31" i="1" s="1"/>
  <c r="R31" i="1"/>
  <c r="M34" i="1"/>
  <c r="R34" i="1"/>
  <c r="T34" i="1"/>
  <c r="V34" i="1" s="1"/>
  <c r="M39" i="1"/>
  <c r="T39" i="1"/>
  <c r="V39" i="1" s="1"/>
  <c r="R39" i="1"/>
  <c r="M44" i="1"/>
  <c r="T44" i="1"/>
  <c r="V44" i="1" s="1"/>
  <c r="R44" i="1"/>
  <c r="M11" i="1"/>
  <c r="T11" i="1"/>
  <c r="V11" i="1" s="1"/>
  <c r="R11" i="1"/>
  <c r="M17" i="1"/>
  <c r="T17" i="1"/>
  <c r="V17" i="1" s="1"/>
  <c r="R17" i="1"/>
  <c r="M23" i="1"/>
  <c r="T23" i="1"/>
  <c r="V23" i="1" s="1"/>
  <c r="R23" i="1"/>
  <c r="M8" i="1"/>
  <c r="T8" i="1"/>
  <c r="V8" i="1" s="1"/>
  <c r="R8" i="1"/>
  <c r="M30" i="1"/>
  <c r="R30" i="1"/>
  <c r="T30" i="1"/>
  <c r="V30" i="1" s="1"/>
  <c r="M33" i="1"/>
  <c r="T33" i="1"/>
  <c r="V33" i="1" s="1"/>
  <c r="R33" i="1"/>
  <c r="M35" i="1"/>
  <c r="T35" i="1"/>
  <c r="V35" i="1" s="1"/>
  <c r="R35" i="1"/>
  <c r="M37" i="1"/>
  <c r="M108" i="1" s="1"/>
  <c r="D8" i="4" s="1"/>
  <c r="L8" i="4" s="1"/>
  <c r="T37" i="1"/>
  <c r="V37" i="1" s="1"/>
  <c r="R37" i="1"/>
  <c r="M18" i="1"/>
  <c r="R18" i="1"/>
  <c r="T18" i="1"/>
  <c r="V18" i="1" s="1"/>
  <c r="M43" i="1"/>
  <c r="T43" i="1"/>
  <c r="V43" i="1" s="1"/>
  <c r="R43" i="1"/>
  <c r="K47" i="1"/>
  <c r="P47" i="1" s="1"/>
  <c r="T49" i="1"/>
  <c r="V49" i="1" s="1"/>
  <c r="T50" i="1"/>
  <c r="V50" i="1" s="1"/>
  <c r="M48" i="1"/>
  <c r="T48" i="1"/>
  <c r="V48" i="1" s="1"/>
  <c r="R48" i="1"/>
  <c r="H8" i="4" l="1"/>
  <c r="I11" i="4"/>
  <c r="L14" i="4"/>
  <c r="T40" i="1"/>
  <c r="V40" i="1" s="1"/>
  <c r="V110" i="1" s="1"/>
  <c r="F10" i="4" s="1"/>
  <c r="N10" i="4" s="1"/>
  <c r="R108" i="1"/>
  <c r="E8" i="4" s="1"/>
  <c r="M8" i="4" s="1"/>
  <c r="R110" i="1"/>
  <c r="E10" i="4" s="1"/>
  <c r="M10" i="4" s="1"/>
  <c r="M40" i="1"/>
  <c r="M46" i="1"/>
  <c r="M111" i="1" s="1"/>
  <c r="D11" i="4" s="1"/>
  <c r="L11" i="4" s="1"/>
  <c r="X37" i="3"/>
  <c r="F13" i="4" s="1"/>
  <c r="S37" i="3"/>
  <c r="E13" i="4" s="1"/>
  <c r="M110" i="1"/>
  <c r="D10" i="4" s="1"/>
  <c r="L10" i="4" s="1"/>
  <c r="V108" i="1"/>
  <c r="F8" i="4" s="1"/>
  <c r="N8" i="4" s="1"/>
  <c r="R107" i="1"/>
  <c r="E7" i="4" s="1"/>
  <c r="M7" i="4" s="1"/>
  <c r="T46" i="1"/>
  <c r="V46" i="1" s="1"/>
  <c r="V111" i="1" s="1"/>
  <c r="F11" i="4" s="1"/>
  <c r="N11" i="4" s="1"/>
  <c r="T16" i="1"/>
  <c r="V16" i="1" s="1"/>
  <c r="V107" i="1" s="1"/>
  <c r="F7" i="4" s="1"/>
  <c r="N7" i="4" s="1"/>
  <c r="I107" i="1"/>
  <c r="C7" i="4" s="1"/>
  <c r="I113" i="1"/>
  <c r="M16" i="1"/>
  <c r="M107" i="1" s="1"/>
  <c r="D7" i="4" s="1"/>
  <c r="L7" i="4" s="1"/>
  <c r="M47" i="1"/>
  <c r="M109" i="1" s="1"/>
  <c r="D9" i="4" s="1"/>
  <c r="L9" i="4" s="1"/>
  <c r="R47" i="1"/>
  <c r="T47" i="1"/>
  <c r="V47" i="1" s="1"/>
  <c r="J10" i="4" l="1"/>
  <c r="J11" i="4"/>
  <c r="H10" i="4"/>
  <c r="I8" i="4"/>
  <c r="L15" i="4"/>
  <c r="I10" i="4"/>
  <c r="H9" i="4"/>
  <c r="I7" i="4"/>
  <c r="J7" i="4"/>
  <c r="H7" i="4"/>
  <c r="C15" i="4"/>
  <c r="D15" i="4"/>
  <c r="D18" i="4" s="1"/>
  <c r="H11" i="4"/>
  <c r="J8" i="4"/>
  <c r="N13" i="4"/>
  <c r="J13" i="4"/>
  <c r="M13" i="4"/>
  <c r="I13" i="4"/>
  <c r="V113" i="1"/>
  <c r="V109" i="1"/>
  <c r="F9" i="4" s="1"/>
  <c r="F15" i="4" s="1"/>
  <c r="F18" i="4" s="1"/>
  <c r="M113" i="1"/>
  <c r="R109" i="1"/>
  <c r="E9" i="4" s="1"/>
  <c r="R113" i="1"/>
  <c r="M9" i="4" l="1"/>
  <c r="M15" i="4" s="1"/>
  <c r="I9" i="4"/>
  <c r="N9" i="4"/>
  <c r="N15" i="4" s="1"/>
  <c r="J9" i="4"/>
  <c r="E15" i="4"/>
  <c r="E18" i="4" s="1"/>
</calcChain>
</file>

<file path=xl/sharedStrings.xml><?xml version="1.0" encoding="utf-8"?>
<sst xmlns="http://schemas.openxmlformats.org/spreadsheetml/2006/main" count="488" uniqueCount="231">
  <si>
    <t>壁の名称</t>
    <rPh sb="0" eb="1">
      <t>カベ</t>
    </rPh>
    <rPh sb="2" eb="4">
      <t>メイショウ</t>
    </rPh>
    <phoneticPr fontId="2"/>
  </si>
  <si>
    <t>方位</t>
    <rPh sb="0" eb="2">
      <t>ホウイ</t>
    </rPh>
    <phoneticPr fontId="2"/>
  </si>
  <si>
    <t>基礎・地盤の名称</t>
    <rPh sb="0" eb="2">
      <t>キソ</t>
    </rPh>
    <rPh sb="3" eb="5">
      <t>ジバン</t>
    </rPh>
    <rPh sb="6" eb="8">
      <t>メイショウ</t>
    </rPh>
    <phoneticPr fontId="2"/>
  </si>
  <si>
    <t>断熱構成の名称</t>
    <rPh sb="0" eb="2">
      <t>ダンネツ</t>
    </rPh>
    <rPh sb="2" eb="4">
      <t>コウセイ</t>
    </rPh>
    <rPh sb="5" eb="7">
      <t>メイショウ</t>
    </rPh>
    <phoneticPr fontId="2"/>
  </si>
  <si>
    <t>透明な部位（窓）</t>
    <rPh sb="0" eb="2">
      <t>トウメイ</t>
    </rPh>
    <rPh sb="3" eb="5">
      <t>ブイ</t>
    </rPh>
    <rPh sb="6" eb="7">
      <t>マド</t>
    </rPh>
    <phoneticPr fontId="2"/>
  </si>
  <si>
    <t>窓の名称</t>
    <rPh sb="0" eb="1">
      <t>マド</t>
    </rPh>
    <rPh sb="2" eb="4">
      <t>メイショウ</t>
    </rPh>
    <phoneticPr fontId="2"/>
  </si>
  <si>
    <t>窓の種類（枠・ガラス）</t>
    <rPh sb="0" eb="1">
      <t>マド</t>
    </rPh>
    <rPh sb="2" eb="4">
      <t>シュルイ</t>
    </rPh>
    <rPh sb="5" eb="6">
      <t>ワク</t>
    </rPh>
    <phoneticPr fontId="2"/>
  </si>
  <si>
    <t>壁体構成の
名称</t>
    <rPh sb="0" eb="2">
      <t>ヘキタイ</t>
    </rPh>
    <rPh sb="2" eb="4">
      <t>コウセイ</t>
    </rPh>
    <rPh sb="6" eb="8">
      <t>メイショウ</t>
    </rPh>
    <phoneticPr fontId="2"/>
  </si>
  <si>
    <t>住宅・住戸名</t>
    <rPh sb="0" eb="2">
      <t>ジュウタク</t>
    </rPh>
    <rPh sb="3" eb="5">
      <t>ジュウコ</t>
    </rPh>
    <rPh sb="5" eb="6">
      <t>メイ</t>
    </rPh>
    <phoneticPr fontId="2"/>
  </si>
  <si>
    <t>全体</t>
    <rPh sb="0" eb="2">
      <t>ゼンタイ</t>
    </rPh>
    <phoneticPr fontId="2"/>
  </si>
  <si>
    <t>面積に関すること</t>
    <rPh sb="0" eb="2">
      <t>メンセキ</t>
    </rPh>
    <rPh sb="3" eb="4">
      <t>カン</t>
    </rPh>
    <phoneticPr fontId="2"/>
  </si>
  <si>
    <r>
      <t xml:space="preserve">①長さ１（ｍ）
</t>
    </r>
    <r>
      <rPr>
        <sz val="8"/>
        <color theme="1"/>
        <rFont val="Meiryo UI"/>
        <family val="3"/>
        <charset val="128"/>
      </rPr>
      <t>（壁の場合は水平方向）</t>
    </r>
    <rPh sb="1" eb="2">
      <t>ナガ</t>
    </rPh>
    <rPh sb="9" eb="10">
      <t>カベ</t>
    </rPh>
    <rPh sb="11" eb="13">
      <t>バアイ</t>
    </rPh>
    <rPh sb="14" eb="18">
      <t>スイヘイホウコウ</t>
    </rPh>
    <phoneticPr fontId="2"/>
  </si>
  <si>
    <r>
      <t xml:space="preserve">②長さ２（ｍ）
</t>
    </r>
    <r>
      <rPr>
        <sz val="8"/>
        <color theme="1"/>
        <rFont val="Meiryo UI"/>
        <family val="3"/>
        <charset val="128"/>
      </rPr>
      <t>（壁の場合は鉛直方向）</t>
    </r>
    <rPh sb="1" eb="2">
      <t>ナガ</t>
    </rPh>
    <rPh sb="9" eb="10">
      <t>カベ</t>
    </rPh>
    <rPh sb="11" eb="13">
      <t>バアイ</t>
    </rPh>
    <rPh sb="14" eb="16">
      <t>エンチョク</t>
    </rPh>
    <rPh sb="16" eb="18">
      <t>ホウコウ</t>
    </rPh>
    <phoneticPr fontId="2"/>
  </si>
  <si>
    <t>q値の計算に関すること</t>
    <rPh sb="1" eb="2">
      <t>アタイ</t>
    </rPh>
    <rPh sb="3" eb="5">
      <t>ケイサン</t>
    </rPh>
    <rPh sb="6" eb="7">
      <t>カン</t>
    </rPh>
    <phoneticPr fontId="2"/>
  </si>
  <si>
    <t>図面からひろう</t>
    <rPh sb="0" eb="2">
      <t>ズメン</t>
    </rPh>
    <phoneticPr fontId="2"/>
  </si>
  <si>
    <t>①×②－③</t>
    <phoneticPr fontId="2"/>
  </si>
  <si>
    <r>
      <t>④壁の面積
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2">
      <t>カベ</t>
    </rPh>
    <rPh sb="3" eb="5">
      <t>メンセキ</t>
    </rPh>
    <phoneticPr fontId="2"/>
  </si>
  <si>
    <t>計算する</t>
    <rPh sb="0" eb="2">
      <t>ケイサン</t>
    </rPh>
    <phoneticPr fontId="2"/>
  </si>
  <si>
    <t>④</t>
    <phoneticPr fontId="2"/>
  </si>
  <si>
    <t>図面から</t>
    <rPh sb="0" eb="2">
      <t>ズメン</t>
    </rPh>
    <phoneticPr fontId="2"/>
  </si>
  <si>
    <t>⑦温度差係数
（H）</t>
    <rPh sb="1" eb="4">
      <t>オンドサ</t>
    </rPh>
    <rPh sb="4" eb="6">
      <t>ケイスウ</t>
    </rPh>
    <phoneticPr fontId="2"/>
  </si>
  <si>
    <t>⑧ｑ値
（W/K)</t>
    <rPh sb="2" eb="3">
      <t>アタイ</t>
    </rPh>
    <phoneticPr fontId="2"/>
  </si>
  <si>
    <t>⑤×⑥×⑦</t>
    <phoneticPr fontId="2"/>
  </si>
  <si>
    <t>mH値の計算に関すること</t>
    <rPh sb="2" eb="3">
      <t>アタイ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</si>
  <si>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</si>
  <si>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⑤×0.034</t>
    <phoneticPr fontId="2"/>
  </si>
  <si>
    <t>④</t>
    <phoneticPr fontId="2"/>
  </si>
  <si>
    <t>⑨η値</t>
    <rPh sb="2" eb="3">
      <t>チ</t>
    </rPh>
    <phoneticPr fontId="2"/>
  </si>
  <si>
    <t>⑪方位係数
（ν）</t>
    <rPh sb="1" eb="3">
      <t>ホウイ</t>
    </rPh>
    <rPh sb="3" eb="5">
      <t>ケイスウ</t>
    </rPh>
    <phoneticPr fontId="2"/>
  </si>
  <si>
    <t>⑨×⑩×⑪</t>
    <phoneticPr fontId="2"/>
  </si>
  <si>
    <t>mC値の計算に関すること</t>
    <rPh sb="2" eb="3">
      <t>アタイ</t>
    </rPh>
    <rPh sb="4" eb="6">
      <t>ケイサン</t>
    </rPh>
    <rPh sb="7" eb="8">
      <t>カン</t>
    </rPh>
    <phoneticPr fontId="2"/>
  </si>
  <si>
    <t>⑬η値</t>
    <rPh sb="2" eb="3">
      <t>チ</t>
    </rPh>
    <phoneticPr fontId="2"/>
  </si>
  <si>
    <t>⑮方位係数
（ν）</t>
    <rPh sb="1" eb="3">
      <t>ホウイ</t>
    </rPh>
    <rPh sb="3" eb="5">
      <t>ケイスウ</t>
    </rPh>
    <phoneticPr fontId="2"/>
  </si>
  <si>
    <t>④</t>
    <phoneticPr fontId="2"/>
  </si>
  <si>
    <t>方位から</t>
    <rPh sb="0" eb="2">
      <t>ホウイ</t>
    </rPh>
    <phoneticPr fontId="2"/>
  </si>
  <si>
    <t>⑬×⑭×⑮</t>
    <phoneticPr fontId="2"/>
  </si>
  <si>
    <t>面積に関すること</t>
    <rPh sb="0" eb="2">
      <t>メンセキ</t>
    </rPh>
    <rPh sb="3" eb="4">
      <t>カン</t>
    </rPh>
    <phoneticPr fontId="2"/>
  </si>
  <si>
    <t>ｑ値の計算に関すること</t>
    <rPh sb="1" eb="2">
      <t>アタイ</t>
    </rPh>
    <rPh sb="3" eb="5">
      <t>ケイサン</t>
    </rPh>
    <rPh sb="6" eb="7">
      <t>カン</t>
    </rPh>
    <phoneticPr fontId="2"/>
  </si>
  <si>
    <t>計算する</t>
    <rPh sb="0" eb="2">
      <t>ケイサン</t>
    </rPh>
    <phoneticPr fontId="2"/>
  </si>
  <si>
    <r>
      <t>①面積（m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</si>
  <si>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②U値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</si>
  <si>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③面積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</si>
  <si>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①</t>
    <phoneticPr fontId="2"/>
  </si>
  <si>
    <t>図面から</t>
    <rPh sb="0" eb="2">
      <t>ズメン</t>
    </rPh>
    <phoneticPr fontId="2"/>
  </si>
  <si>
    <t>④温度差係数
（H）</t>
    <rPh sb="1" eb="4">
      <t>オンドサ</t>
    </rPh>
    <rPh sb="4" eb="6">
      <t>ケイスウ</t>
    </rPh>
    <phoneticPr fontId="2"/>
  </si>
  <si>
    <t>②×③×④</t>
    <phoneticPr fontId="2"/>
  </si>
  <si>
    <t>⑤ｑ値
（W/K)</t>
    <rPh sb="2" eb="3">
      <t>アタイ</t>
    </rPh>
    <phoneticPr fontId="2"/>
  </si>
  <si>
    <t>仕様から</t>
    <rPh sb="0" eb="2">
      <t>シヨウ</t>
    </rPh>
    <phoneticPr fontId="2"/>
  </si>
  <si>
    <t>⑥ηd値</t>
    <rPh sb="3" eb="4">
      <t>チ</t>
    </rPh>
    <phoneticPr fontId="2"/>
  </si>
  <si>
    <t>①</t>
    <phoneticPr fontId="2"/>
  </si>
  <si>
    <t>mC値の計算に関すること</t>
    <rPh sb="2" eb="3">
      <t>チ</t>
    </rPh>
    <rPh sb="4" eb="6">
      <t>ケイサン</t>
    </rPh>
    <rPh sb="7" eb="8">
      <t>カン</t>
    </rPh>
    <phoneticPr fontId="2"/>
  </si>
  <si>
    <t>全体</t>
    <rPh sb="0" eb="2">
      <t>ゼンタイ</t>
    </rPh>
    <phoneticPr fontId="2"/>
  </si>
  <si>
    <t>①ψ値
（W/ｍK）</t>
    <rPh sb="2" eb="3">
      <t>チ</t>
    </rPh>
    <phoneticPr fontId="2"/>
  </si>
  <si>
    <t>②長さ
（ｍ）</t>
    <rPh sb="1" eb="2">
      <t>ナガ</t>
    </rPh>
    <phoneticPr fontId="2"/>
  </si>
  <si>
    <t>④ｑ値
（W/K)</t>
    <rPh sb="2" eb="3">
      <t>アタイ</t>
    </rPh>
    <phoneticPr fontId="2"/>
  </si>
  <si>
    <t>③温度差係数
（H）</t>
    <rPh sb="1" eb="4">
      <t>オンドサ</t>
    </rPh>
    <rPh sb="4" eb="6">
      <t>ケイスウ</t>
    </rPh>
    <phoneticPr fontId="2"/>
  </si>
  <si>
    <t>①×②×③</t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</si>
  <si>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</si>
  <si>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</si>
  <si>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t>土壁（無断熱）</t>
    <rPh sb="0" eb="2">
      <t>ツチカベ</t>
    </rPh>
    <rPh sb="3" eb="6">
      <t>ムダンネツ</t>
    </rPh>
    <phoneticPr fontId="2"/>
  </si>
  <si>
    <t>戸袋</t>
    <rPh sb="0" eb="2">
      <t>トブクロ</t>
    </rPh>
    <phoneticPr fontId="2"/>
  </si>
  <si>
    <t>床板張り（無断熱）</t>
    <rPh sb="0" eb="1">
      <t>ユカ</t>
    </rPh>
    <rPh sb="1" eb="3">
      <t>イタバ</t>
    </rPh>
    <rPh sb="5" eb="8">
      <t>ムダンネツ</t>
    </rPh>
    <phoneticPr fontId="2"/>
  </si>
  <si>
    <t>床畳（無断熱）</t>
    <rPh sb="0" eb="1">
      <t>ユカ</t>
    </rPh>
    <rPh sb="1" eb="2">
      <t>タタミ</t>
    </rPh>
    <rPh sb="3" eb="6">
      <t>ムダンネツ</t>
    </rPh>
    <phoneticPr fontId="2"/>
  </si>
  <si>
    <t>天井板張り（無断熱）</t>
    <rPh sb="0" eb="2">
      <t>テンジョウ</t>
    </rPh>
    <rPh sb="2" eb="4">
      <t>イタバ</t>
    </rPh>
    <rPh sb="6" eb="9">
      <t>ムダンネツ</t>
    </rPh>
    <phoneticPr fontId="2"/>
  </si>
  <si>
    <t>土壁（無断熱）（戸境壁）</t>
    <phoneticPr fontId="2"/>
  </si>
  <si>
    <t>毛利の間_北</t>
    <rPh sb="0" eb="2">
      <t>モウリ</t>
    </rPh>
    <rPh sb="3" eb="4">
      <t>マ</t>
    </rPh>
    <rPh sb="5" eb="6">
      <t>キタ</t>
    </rPh>
    <phoneticPr fontId="2"/>
  </si>
  <si>
    <t>土壁（無断熱）＋板張り</t>
  </si>
  <si>
    <t>毛利の間_西_い-ろ間</t>
    <rPh sb="0" eb="2">
      <t>モウリ</t>
    </rPh>
    <rPh sb="3" eb="4">
      <t>マ</t>
    </rPh>
    <rPh sb="5" eb="6">
      <t>ニシ</t>
    </rPh>
    <rPh sb="10" eb="11">
      <t>アイダ</t>
    </rPh>
    <phoneticPr fontId="2"/>
  </si>
  <si>
    <t>毛利の間_西_ろ-に間</t>
    <rPh sb="0" eb="2">
      <t>モウリ</t>
    </rPh>
    <rPh sb="3" eb="4">
      <t>マ</t>
    </rPh>
    <rPh sb="5" eb="6">
      <t>ニシ</t>
    </rPh>
    <rPh sb="10" eb="11">
      <t>カン</t>
    </rPh>
    <phoneticPr fontId="2"/>
  </si>
  <si>
    <t>1階サロン_北</t>
    <rPh sb="1" eb="2">
      <t>カイ</t>
    </rPh>
    <rPh sb="6" eb="7">
      <t>キタ</t>
    </rPh>
    <phoneticPr fontId="2"/>
  </si>
  <si>
    <t>奥村の間_北</t>
    <rPh sb="0" eb="2">
      <t>オクムラ</t>
    </rPh>
    <rPh sb="3" eb="4">
      <t>マ</t>
    </rPh>
    <rPh sb="5" eb="6">
      <t>キタ</t>
    </rPh>
    <phoneticPr fontId="2"/>
  </si>
  <si>
    <t>1階縁側_北</t>
    <rPh sb="1" eb="2">
      <t>カイ</t>
    </rPh>
    <rPh sb="2" eb="4">
      <t>エンガワ</t>
    </rPh>
    <rPh sb="5" eb="6">
      <t>キタ</t>
    </rPh>
    <phoneticPr fontId="2"/>
  </si>
  <si>
    <t>1階縁側_東_い-ろ間</t>
    <rPh sb="2" eb="4">
      <t>エンガワ</t>
    </rPh>
    <rPh sb="5" eb="6">
      <t>ヒガシ</t>
    </rPh>
    <rPh sb="10" eb="11">
      <t>カン</t>
    </rPh>
    <phoneticPr fontId="2"/>
  </si>
  <si>
    <t>1階縁側_東_ろ-は間</t>
    <rPh sb="2" eb="4">
      <t>エンガワ</t>
    </rPh>
    <rPh sb="5" eb="6">
      <t>ヒガシ</t>
    </rPh>
    <rPh sb="10" eb="11">
      <t>カン</t>
    </rPh>
    <phoneticPr fontId="2"/>
  </si>
  <si>
    <t>1階縁側_東_は-に間</t>
    <rPh sb="2" eb="4">
      <t>エンガワ</t>
    </rPh>
    <rPh sb="5" eb="6">
      <t>ヒガシ</t>
    </rPh>
    <rPh sb="10" eb="11">
      <t>カン</t>
    </rPh>
    <phoneticPr fontId="2"/>
  </si>
  <si>
    <t>1階縁側_南</t>
    <rPh sb="2" eb="4">
      <t>エンガワ</t>
    </rPh>
    <rPh sb="5" eb="6">
      <t>ミナミ</t>
    </rPh>
    <phoneticPr fontId="2"/>
  </si>
  <si>
    <t>土間_東</t>
    <rPh sb="0" eb="2">
      <t>ドマ</t>
    </rPh>
    <rPh sb="3" eb="4">
      <t>ヒガシ</t>
    </rPh>
    <phoneticPr fontId="2"/>
  </si>
  <si>
    <t>土間_南</t>
    <rPh sb="0" eb="2">
      <t>ドマ</t>
    </rPh>
    <rPh sb="3" eb="4">
      <t>ミナミ</t>
    </rPh>
    <phoneticPr fontId="2"/>
  </si>
  <si>
    <t>土間_西</t>
    <rPh sb="0" eb="2">
      <t>ドマ</t>
    </rPh>
    <rPh sb="3" eb="4">
      <t>ニシ</t>
    </rPh>
    <phoneticPr fontId="2"/>
  </si>
  <si>
    <t>土壁（無断熱）＋下見板張り</t>
    <phoneticPr fontId="2"/>
  </si>
  <si>
    <t>中野の間_西</t>
    <rPh sb="0" eb="2">
      <t>ナカノ</t>
    </rPh>
    <rPh sb="3" eb="4">
      <t>マ</t>
    </rPh>
    <rPh sb="5" eb="6">
      <t>ニシ</t>
    </rPh>
    <phoneticPr fontId="2"/>
  </si>
  <si>
    <t>土壁（無断熱）＋下見板張り</t>
    <rPh sb="0" eb="1">
      <t>ツチ</t>
    </rPh>
    <rPh sb="1" eb="2">
      <t>カベ</t>
    </rPh>
    <rPh sb="3" eb="4">
      <t>ム</t>
    </rPh>
    <rPh sb="4" eb="6">
      <t>ダンネツ</t>
    </rPh>
    <rPh sb="8" eb="10">
      <t>シタミ</t>
    </rPh>
    <rPh sb="10" eb="11">
      <t>イタ</t>
    </rPh>
    <rPh sb="11" eb="12">
      <t>バ</t>
    </rPh>
    <phoneticPr fontId="2"/>
  </si>
  <si>
    <t>中野の間_西_ろ-に間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</si>
  <si>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中野の間_西_い-ろ間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</si>
  <si>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中野の間_北</t>
    <rPh sb="0" eb="2">
      <t>ナカノ</t>
    </rPh>
    <rPh sb="3" eb="4">
      <t>マ</t>
    </rPh>
    <rPh sb="5" eb="6">
      <t>キタ</t>
    </rPh>
    <phoneticPr fontId="2"/>
  </si>
  <si>
    <t>2階サロン_北</t>
    <rPh sb="1" eb="2">
      <t>カイ</t>
    </rPh>
    <rPh sb="6" eb="7">
      <t>キタ</t>
    </rPh>
    <phoneticPr fontId="2"/>
  </si>
  <si>
    <t>吉田の間_北</t>
    <rPh sb="0" eb="2">
      <t>ヨシダ</t>
    </rPh>
    <rPh sb="3" eb="4">
      <t>マ</t>
    </rPh>
    <rPh sb="5" eb="6">
      <t>キタ</t>
    </rPh>
    <phoneticPr fontId="2"/>
  </si>
  <si>
    <t>2階縁側_北</t>
    <rPh sb="1" eb="2">
      <t>カイ</t>
    </rPh>
    <rPh sb="2" eb="4">
      <t>エンガワ</t>
    </rPh>
    <rPh sb="5" eb="6">
      <t>キタ</t>
    </rPh>
    <phoneticPr fontId="2"/>
  </si>
  <si>
    <t>2階縁側_東</t>
    <rPh sb="1" eb="2">
      <t>カイ</t>
    </rPh>
    <rPh sb="2" eb="4">
      <t>エンガワ</t>
    </rPh>
    <rPh sb="5" eb="6">
      <t>ヒガシ</t>
    </rPh>
    <phoneticPr fontId="2"/>
  </si>
  <si>
    <t>2階縁側_東_い-ろ間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</si>
  <si>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2階縁側_東_ろ-に間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</si>
  <si>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2階縁側_南</t>
    <rPh sb="1" eb="2">
      <t>カイ</t>
    </rPh>
    <rPh sb="2" eb="4">
      <t>エンガワ</t>
    </rPh>
    <rPh sb="5" eb="6">
      <t>ミナミ</t>
    </rPh>
    <phoneticPr fontId="2"/>
  </si>
  <si>
    <t>2階吹き抜け_東</t>
    <rPh sb="1" eb="2">
      <t>カイ</t>
    </rPh>
    <rPh sb="2" eb="3">
      <t>フ</t>
    </rPh>
    <rPh sb="4" eb="5">
      <t>ヌ</t>
    </rPh>
    <rPh sb="7" eb="8">
      <t>ヒガシ</t>
    </rPh>
    <phoneticPr fontId="2"/>
  </si>
  <si>
    <t>2階吹き抜け_南</t>
    <rPh sb="1" eb="2">
      <t>カイ</t>
    </rPh>
    <rPh sb="2" eb="3">
      <t>フ</t>
    </rPh>
    <rPh sb="4" eb="5">
      <t>ヌ</t>
    </rPh>
    <rPh sb="7" eb="8">
      <t>ミナミ</t>
    </rPh>
    <phoneticPr fontId="2"/>
  </si>
  <si>
    <t>納戸_南</t>
    <rPh sb="0" eb="2">
      <t>ナンド</t>
    </rPh>
    <rPh sb="3" eb="4">
      <t>ミナミ</t>
    </rPh>
    <phoneticPr fontId="2"/>
  </si>
  <si>
    <t>納戸_西</t>
    <rPh sb="0" eb="2">
      <t>ナンド</t>
    </rPh>
    <rPh sb="3" eb="4">
      <t>ニシ</t>
    </rPh>
    <phoneticPr fontId="2"/>
  </si>
  <si>
    <t>板戸</t>
    <rPh sb="0" eb="2">
      <t>イタド</t>
    </rPh>
    <phoneticPr fontId="2"/>
  </si>
  <si>
    <t>毛利の間</t>
    <rPh sb="0" eb="2">
      <t>モウリ</t>
    </rPh>
    <rPh sb="3" eb="4">
      <t>マ</t>
    </rPh>
    <phoneticPr fontId="2"/>
  </si>
  <si>
    <t>1階サロン_階段下</t>
    <rPh sb="1" eb="2">
      <t>カイ</t>
    </rPh>
    <rPh sb="6" eb="9">
      <t>カイダンシタ</t>
    </rPh>
    <phoneticPr fontId="2"/>
  </si>
  <si>
    <t>1階サロン</t>
    <rPh sb="1" eb="2">
      <t>カイ</t>
    </rPh>
    <phoneticPr fontId="2"/>
  </si>
  <si>
    <t>奥村の間_仏間&amp;床間</t>
    <rPh sb="0" eb="2">
      <t>オクムラ</t>
    </rPh>
    <rPh sb="3" eb="4">
      <t>マ</t>
    </rPh>
    <rPh sb="5" eb="7">
      <t>ブツマ</t>
    </rPh>
    <rPh sb="8" eb="9">
      <t>トコ</t>
    </rPh>
    <rPh sb="9" eb="10">
      <t>マ</t>
    </rPh>
    <phoneticPr fontId="2"/>
  </si>
  <si>
    <t>奥村の間</t>
    <rPh sb="0" eb="2">
      <t>オクムラ</t>
    </rPh>
    <rPh sb="3" eb="4">
      <t>マ</t>
    </rPh>
    <phoneticPr fontId="2"/>
  </si>
  <si>
    <t>1階縁側</t>
    <rPh sb="1" eb="2">
      <t>カイ</t>
    </rPh>
    <rPh sb="2" eb="4">
      <t>エンガワ</t>
    </rPh>
    <phoneticPr fontId="2"/>
  </si>
  <si>
    <t>1階土間</t>
    <rPh sb="1" eb="2">
      <t>カイ</t>
    </rPh>
    <rPh sb="2" eb="4">
      <t>ドマ</t>
    </rPh>
    <phoneticPr fontId="2"/>
  </si>
  <si>
    <t>土間</t>
    <rPh sb="0" eb="2">
      <t>ドマ</t>
    </rPh>
    <phoneticPr fontId="2"/>
  </si>
  <si>
    <t>中野の間</t>
    <rPh sb="0" eb="2">
      <t>ナカノ</t>
    </rPh>
    <rPh sb="3" eb="4">
      <t>マ</t>
    </rPh>
    <phoneticPr fontId="2"/>
  </si>
  <si>
    <t>2階サロン</t>
    <rPh sb="1" eb="2">
      <t>カイ</t>
    </rPh>
    <phoneticPr fontId="2"/>
  </si>
  <si>
    <t>吉田の間</t>
    <rPh sb="0" eb="2">
      <t>ヨシダ</t>
    </rPh>
    <rPh sb="3" eb="4">
      <t>マ</t>
    </rPh>
    <phoneticPr fontId="2"/>
  </si>
  <si>
    <t>2階吹き抜け</t>
    <rPh sb="1" eb="2">
      <t>カイ</t>
    </rPh>
    <rPh sb="2" eb="3">
      <t>フ</t>
    </rPh>
    <rPh sb="4" eb="5">
      <t>ヌ</t>
    </rPh>
    <phoneticPr fontId="2"/>
  </si>
  <si>
    <t>納戸</t>
    <rPh sb="0" eb="2">
      <t>ナンド</t>
    </rPh>
    <phoneticPr fontId="2"/>
  </si>
  <si>
    <t>2階縁側</t>
    <rPh sb="1" eb="2">
      <t>カイ</t>
    </rPh>
    <rPh sb="2" eb="4">
      <t>エンガワ</t>
    </rPh>
    <phoneticPr fontId="2"/>
  </si>
  <si>
    <t>無断熱</t>
    <rPh sb="0" eb="3">
      <t>ムダンネツ</t>
    </rPh>
    <phoneticPr fontId="2"/>
  </si>
  <si>
    <t>1階土間_西</t>
    <rPh sb="1" eb="2">
      <t>カイ</t>
    </rPh>
    <rPh sb="2" eb="4">
      <t>ドマ</t>
    </rPh>
    <rPh sb="5" eb="6">
      <t>ニシ</t>
    </rPh>
    <phoneticPr fontId="2"/>
  </si>
  <si>
    <t>1階土間_東</t>
    <rPh sb="1" eb="2">
      <t>カイ</t>
    </rPh>
    <rPh sb="2" eb="4">
      <t>ドマ</t>
    </rPh>
    <rPh sb="5" eb="6">
      <t>ヒガシ</t>
    </rPh>
    <phoneticPr fontId="2"/>
  </si>
  <si>
    <t>1階土間_南</t>
    <rPh sb="1" eb="2">
      <t>カイ</t>
    </rPh>
    <rPh sb="2" eb="4">
      <t>ドマ</t>
    </rPh>
    <rPh sb="5" eb="6">
      <t>ミナミ</t>
    </rPh>
    <phoneticPr fontId="2"/>
  </si>
  <si>
    <t>1階土間_北</t>
    <rPh sb="1" eb="2">
      <t>カイ</t>
    </rPh>
    <rPh sb="2" eb="4">
      <t>ドマ</t>
    </rPh>
    <rPh sb="5" eb="6">
      <t>キタ</t>
    </rPh>
    <phoneticPr fontId="2"/>
  </si>
  <si>
    <t>毛利の間_西</t>
    <rPh sb="0" eb="2">
      <t>モウリ</t>
    </rPh>
    <rPh sb="3" eb="4">
      <t>マ</t>
    </rPh>
    <rPh sb="5" eb="6">
      <t>ニシ</t>
    </rPh>
    <phoneticPr fontId="2"/>
  </si>
  <si>
    <t>木製・単板</t>
    <rPh sb="0" eb="2">
      <t>モクセイ</t>
    </rPh>
    <rPh sb="3" eb="5">
      <t>タンバン</t>
    </rPh>
    <phoneticPr fontId="2"/>
  </si>
  <si>
    <t>1階縁側_東</t>
    <rPh sb="1" eb="2">
      <t>カイ</t>
    </rPh>
    <rPh sb="2" eb="4">
      <t>エンガワ</t>
    </rPh>
    <rPh sb="5" eb="6">
      <t>ヒガシ</t>
    </rPh>
    <phoneticPr fontId="2"/>
  </si>
  <si>
    <t>2階縁側_東_欄間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</si>
  <si>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1階縁側_東_欄間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</si>
  <si>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よしやまち校舎改修前</t>
    <rPh sb="5" eb="7">
      <t>コウシャ</t>
    </rPh>
    <rPh sb="7" eb="10">
      <t>カイシュウマエ</t>
    </rPh>
    <phoneticPr fontId="2"/>
  </si>
  <si>
    <r>
      <t>③除く面積（m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）
</t>
    </r>
    <r>
      <rPr>
        <sz val="8"/>
        <color theme="1"/>
        <rFont val="Meiryo UI"/>
        <family val="3"/>
        <charset val="128"/>
      </rPr>
      <t>（窓・戸など）</t>
    </r>
    <rPh sb="1" eb="2">
      <t>ノゾ</t>
    </rPh>
    <rPh sb="3" eb="5">
      <t>メンセキ</t>
    </rPh>
    <rPh sb="11" eb="12">
      <t>マド</t>
    </rPh>
    <rPh sb="13" eb="14">
      <t>ト</t>
    </rPh>
    <phoneticPr fontId="2"/>
  </si>
  <si>
    <r>
      <t>⑤U値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</si>
  <si>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⑥面積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</si>
  <si>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</si>
  <si>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⑫ｍ値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</si>
  <si>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⑭面積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</si>
  <si>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⑯ｍ値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</si>
  <si>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t>土間_北_大黒柱まで</t>
    <rPh sb="0" eb="2">
      <t>ドマ</t>
    </rPh>
    <rPh sb="3" eb="4">
      <t>キタ</t>
    </rPh>
    <rPh sb="5" eb="7">
      <t>ダイコク</t>
    </rPh>
    <rPh sb="7" eb="8">
      <t>バシラ</t>
    </rPh>
    <phoneticPr fontId="2"/>
  </si>
  <si>
    <t>土間_北_大黒柱より奥</t>
    <rPh sb="0" eb="2">
      <t>ドマ</t>
    </rPh>
    <rPh sb="3" eb="4">
      <t>キタ</t>
    </rPh>
    <rPh sb="5" eb="7">
      <t>ダイコク</t>
    </rPh>
    <rPh sb="7" eb="8">
      <t>バシラ</t>
    </rPh>
    <rPh sb="10" eb="11">
      <t>オク</t>
    </rPh>
    <phoneticPr fontId="2"/>
  </si>
  <si>
    <t>土壁（無断熱）（床下）</t>
    <phoneticPr fontId="2"/>
  </si>
  <si>
    <t>板張り（床下）</t>
    <rPh sb="0" eb="2">
      <t>イタバ</t>
    </rPh>
    <rPh sb="4" eb="6">
      <t>ユカシタ</t>
    </rPh>
    <phoneticPr fontId="2"/>
  </si>
  <si>
    <t>西</t>
    <rPh sb="0" eb="1">
      <t>ニシ</t>
    </rPh>
    <phoneticPr fontId="2"/>
  </si>
  <si>
    <t>北</t>
    <rPh sb="0" eb="1">
      <t>キタ</t>
    </rPh>
    <phoneticPr fontId="2"/>
  </si>
  <si>
    <t>東</t>
    <rPh sb="0" eb="1">
      <t>ヒガシ</t>
    </rPh>
    <phoneticPr fontId="2"/>
  </si>
  <si>
    <t>南</t>
    <rPh sb="0" eb="1">
      <t>ミナミ</t>
    </rPh>
    <phoneticPr fontId="2"/>
  </si>
  <si>
    <t>下</t>
    <rPh sb="0" eb="1">
      <t>シタ</t>
    </rPh>
    <phoneticPr fontId="2"/>
  </si>
  <si>
    <t>上</t>
    <rPh sb="0" eb="1">
      <t>ウエ</t>
    </rPh>
    <phoneticPr fontId="2"/>
  </si>
  <si>
    <t>－</t>
    <phoneticPr fontId="2"/>
  </si>
  <si>
    <t>不透明な部位（壁・屋根・天井・床・ドア）</t>
    <rPh sb="0" eb="3">
      <t>フトウメイ</t>
    </rPh>
    <rPh sb="4" eb="6">
      <t>ブイ</t>
    </rPh>
    <rPh sb="7" eb="8">
      <t>カベ</t>
    </rPh>
    <rPh sb="9" eb="11">
      <t>ヤネ</t>
    </rPh>
    <rPh sb="12" eb="14">
      <t>テンジョウ</t>
    </rPh>
    <rPh sb="15" eb="16">
      <t>ユカ</t>
    </rPh>
    <phoneticPr fontId="2"/>
  </si>
  <si>
    <t>番号</t>
    <rPh sb="0" eb="2">
      <t>バンゴウ</t>
    </rPh>
    <phoneticPr fontId="2"/>
  </si>
  <si>
    <t>壁体の
種類</t>
    <rPh sb="0" eb="2">
      <t>ヘキタイ</t>
    </rPh>
    <rPh sb="4" eb="6">
      <t>シュルイ</t>
    </rPh>
    <phoneticPr fontId="2"/>
  </si>
  <si>
    <t>壁</t>
  </si>
  <si>
    <t>間仕切り壁</t>
  </si>
  <si>
    <t>屋根・天井</t>
  </si>
  <si>
    <t>床</t>
  </si>
  <si>
    <t>土間</t>
  </si>
  <si>
    <t>合計</t>
    <rPh sb="0" eb="2">
      <t>ゴウケイ</t>
    </rPh>
    <phoneticPr fontId="2"/>
  </si>
  <si>
    <t>合計（壁）</t>
    <rPh sb="0" eb="2">
      <t>ゴウケイ</t>
    </rPh>
    <rPh sb="3" eb="4">
      <t>カベ</t>
    </rPh>
    <phoneticPr fontId="2"/>
  </si>
  <si>
    <t>合計（間仕切り壁）</t>
    <rPh sb="0" eb="2">
      <t>ゴウケイ</t>
    </rPh>
    <rPh sb="3" eb="6">
      <t>マジキ</t>
    </rPh>
    <rPh sb="7" eb="8">
      <t>カベ</t>
    </rPh>
    <phoneticPr fontId="2"/>
  </si>
  <si>
    <t>合計（屋根・天井）</t>
    <rPh sb="0" eb="2">
      <t>ゴウケイ</t>
    </rPh>
    <rPh sb="3" eb="5">
      <t>ヤネ</t>
    </rPh>
    <rPh sb="6" eb="8">
      <t>テンジョウ</t>
    </rPh>
    <phoneticPr fontId="2"/>
  </si>
  <si>
    <t>合計（床）</t>
    <rPh sb="0" eb="2">
      <t>ゴウケイ</t>
    </rPh>
    <rPh sb="3" eb="4">
      <t>ユカ</t>
    </rPh>
    <phoneticPr fontId="2"/>
  </si>
  <si>
    <t>合計（土間）</t>
    <rPh sb="0" eb="2">
      <t>ゴウケイ</t>
    </rPh>
    <rPh sb="3" eb="5">
      <t>ドマ</t>
    </rPh>
    <phoneticPr fontId="2"/>
  </si>
  <si>
    <t>合計（ドア）</t>
    <rPh sb="0" eb="2">
      <t>ゴウケイ</t>
    </rPh>
    <phoneticPr fontId="2"/>
  </si>
  <si>
    <t>番号</t>
    <rPh sb="0" eb="2">
      <t>バンゴウ</t>
    </rPh>
    <phoneticPr fontId="2"/>
  </si>
  <si>
    <t>m値の計算に関すること（mH値・mC値共通）</t>
    <rPh sb="1" eb="2">
      <t>アタイ</t>
    </rPh>
    <rPh sb="3" eb="5">
      <t>ケイサン</t>
    </rPh>
    <rPh sb="6" eb="7">
      <t>カン</t>
    </rPh>
    <rPh sb="14" eb="15">
      <t>アタイ</t>
    </rPh>
    <rPh sb="18" eb="19">
      <t>アタイ</t>
    </rPh>
    <rPh sb="19" eb="21">
      <t>キョウツウ</t>
    </rPh>
    <phoneticPr fontId="2"/>
  </si>
  <si>
    <t>mH値の計算に関すること</t>
    <phoneticPr fontId="2"/>
  </si>
  <si>
    <r>
      <t>⑦y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（mm）</t>
    </r>
    <phoneticPr fontId="2"/>
  </si>
  <si>
    <r>
      <t>⑧y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（mm）</t>
    </r>
    <phoneticPr fontId="2"/>
  </si>
  <si>
    <t>⑨z（mm）</t>
    <phoneticPr fontId="2"/>
  </si>
  <si>
    <t>⑩ηd値</t>
    <rPh sb="3" eb="4">
      <t>チ</t>
    </rPh>
    <phoneticPr fontId="2"/>
  </si>
  <si>
    <t>⑥</t>
    <phoneticPr fontId="2"/>
  </si>
  <si>
    <t>⑪日除け
（ｆ）</t>
    <rPh sb="1" eb="3">
      <t>ヒヨ</t>
    </rPh>
    <phoneticPr fontId="2"/>
  </si>
  <si>
    <t>⑦⑧⑨から</t>
    <phoneticPr fontId="2"/>
  </si>
  <si>
    <r>
      <t>⑫面積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</si>
  <si>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⑬方位係数
（ν）</t>
    <rPh sb="1" eb="3">
      <t>ホウイ</t>
    </rPh>
    <rPh sb="3" eb="5">
      <t>ケイスウ</t>
    </rPh>
    <phoneticPr fontId="2"/>
  </si>
  <si>
    <r>
      <t>⑭ｍ値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</si>
  <si>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⑩×⑪×⑫×⑬</t>
    <phoneticPr fontId="2"/>
  </si>
  <si>
    <t>⑮ηd値</t>
    <rPh sb="3" eb="4">
      <t>チ</t>
    </rPh>
    <phoneticPr fontId="2"/>
  </si>
  <si>
    <t>⑯日除け
（ｆ）</t>
    <rPh sb="1" eb="3">
      <t>ヒヨ</t>
    </rPh>
    <phoneticPr fontId="2"/>
  </si>
  <si>
    <r>
      <t>⑰面積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</si>
  <si>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⑱方位係数
（ν）</t>
    <rPh sb="1" eb="3">
      <t>ホウイ</t>
    </rPh>
    <rPh sb="3" eb="5">
      <t>ケイスウ</t>
    </rPh>
    <phoneticPr fontId="2"/>
  </si>
  <si>
    <r>
      <t>⑲ｍ値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</si>
  <si>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⑮×⑯×⑰×⑱</t>
    <phoneticPr fontId="2"/>
  </si>
  <si>
    <t>窓</t>
    <rPh sb="0" eb="1">
      <t>マド</t>
    </rPh>
    <phoneticPr fontId="2"/>
  </si>
  <si>
    <t>地盤</t>
    <rPh sb="0" eb="2">
      <t>ジバン</t>
    </rPh>
    <phoneticPr fontId="2"/>
  </si>
  <si>
    <t>－</t>
    <phoneticPr fontId="2"/>
  </si>
  <si>
    <t>壁</t>
    <rPh sb="0" eb="1">
      <t>ガッペキ</t>
    </rPh>
    <phoneticPr fontId="2"/>
  </si>
  <si>
    <t>間仕切り壁</t>
    <rPh sb="0" eb="3">
      <t>マジキ</t>
    </rPh>
    <rPh sb="4" eb="5">
      <t>カベ</t>
    </rPh>
    <phoneticPr fontId="2"/>
  </si>
  <si>
    <t>屋根・天井</t>
    <rPh sb="0" eb="2">
      <t>ヤネ</t>
    </rPh>
    <rPh sb="3" eb="5">
      <t>テンジョウ</t>
    </rPh>
    <phoneticPr fontId="2"/>
  </si>
  <si>
    <t>床</t>
    <rPh sb="0" eb="1">
      <t>ユカ</t>
    </rPh>
    <phoneticPr fontId="2"/>
  </si>
  <si>
    <t>土間</t>
    <rPh sb="0" eb="2">
      <t>ドマ</t>
    </rPh>
    <phoneticPr fontId="2"/>
  </si>
  <si>
    <t>ドア</t>
    <phoneticPr fontId="2"/>
  </si>
  <si>
    <t>①面積
(m2)</t>
    <rPh sb="1" eb="3">
      <t>メンセキ</t>
    </rPh>
    <phoneticPr fontId="2"/>
  </si>
  <si>
    <t>②q値（合計）
(W/K)</t>
    <rPh sb="2" eb="3">
      <t>チ</t>
    </rPh>
    <rPh sb="4" eb="6">
      <t>ゴウケイ</t>
    </rPh>
    <phoneticPr fontId="2"/>
  </si>
  <si>
    <t>③mH値（合計）
(W/(W/m2))</t>
    <rPh sb="3" eb="4">
      <t>アタイ</t>
    </rPh>
    <rPh sb="5" eb="7">
      <t>ゴウケイ</t>
    </rPh>
    <phoneticPr fontId="2"/>
  </si>
  <si>
    <t>④mC値（合計）
(W/(W/m2))</t>
    <rPh sb="3" eb="4">
      <t>アタイ</t>
    </rPh>
    <rPh sb="5" eb="7">
      <t>ゴウケイ</t>
    </rPh>
    <phoneticPr fontId="2"/>
  </si>
  <si>
    <t>平均U値
(W/m2K)
（②÷①）</t>
    <rPh sb="0" eb="2">
      <t>ヘイキン</t>
    </rPh>
    <rPh sb="3" eb="4">
      <t>アタイ</t>
    </rPh>
    <phoneticPr fontId="2"/>
  </si>
  <si>
    <t>UA値
(W/m2K)
（②÷①）</t>
    <rPh sb="2" eb="3">
      <t>アタイ</t>
    </rPh>
    <phoneticPr fontId="2"/>
  </si>
  <si>
    <t>ηAH値
(%)
（③÷①✕100）</t>
    <rPh sb="3" eb="4">
      <t>アタイ</t>
    </rPh>
    <phoneticPr fontId="2"/>
  </si>
  <si>
    <t>ηAC値
(%)
（④÷①✕100）</t>
    <rPh sb="3" eb="4">
      <t>アタイ</t>
    </rPh>
    <phoneticPr fontId="2"/>
  </si>
  <si>
    <t>平均ηC値
(%)
（④÷①✕100）</t>
    <rPh sb="0" eb="2">
      <t>ヘイキン</t>
    </rPh>
    <rPh sb="4" eb="5">
      <t>アタイ</t>
    </rPh>
    <phoneticPr fontId="2"/>
  </si>
  <si>
    <t>平均ηH値
(%)
（③÷①✕100）</t>
    <rPh sb="0" eb="2">
      <t>ヘイキン</t>
    </rPh>
    <rPh sb="4" eb="5">
      <t>アタイ</t>
    </rPh>
    <phoneticPr fontId="2"/>
  </si>
  <si>
    <t>冬期日射による
取得熱量（W)
(③✕⑥)</t>
    <rPh sb="0" eb="2">
      <t>トウキ</t>
    </rPh>
    <rPh sb="2" eb="4">
      <t>ニッシャ</t>
    </rPh>
    <rPh sb="8" eb="10">
      <t>シュトク</t>
    </rPh>
    <rPh sb="10" eb="12">
      <t>ネツリョウ</t>
    </rPh>
    <phoneticPr fontId="2"/>
  </si>
  <si>
    <t>温度差による
損失熱量(W)
（②✕⑤）</t>
    <rPh sb="0" eb="3">
      <t>オンドサ</t>
    </rPh>
    <rPh sb="7" eb="9">
      <t>ソンシツ</t>
    </rPh>
    <rPh sb="9" eb="11">
      <t>ネツリョウ</t>
    </rPh>
    <phoneticPr fontId="2"/>
  </si>
  <si>
    <t>水平面全天日射量
（W/m2K)</t>
    <rPh sb="0" eb="3">
      <t>スイヘイメン</t>
    </rPh>
    <rPh sb="3" eb="5">
      <t>ゼンテン</t>
    </rPh>
    <rPh sb="5" eb="8">
      <t>ニッシャリョウ</t>
    </rPh>
    <phoneticPr fontId="2"/>
  </si>
  <si>
    <t>夏期日射による
取得熱量（W)
(③✕⑦)</t>
    <rPh sb="0" eb="2">
      <t>カキ</t>
    </rPh>
    <rPh sb="2" eb="4">
      <t>ニッシャ</t>
    </rPh>
    <rPh sb="8" eb="10">
      <t>シュトク</t>
    </rPh>
    <rPh sb="10" eb="12">
      <t>ネツリョウ</t>
    </rPh>
    <phoneticPr fontId="2"/>
  </si>
  <si>
    <t>⑤温度差（K）</t>
    <rPh sb="1" eb="4">
      <t>オンドサ</t>
    </rPh>
    <phoneticPr fontId="2"/>
  </si>
  <si>
    <t>⑥冬期</t>
    <rPh sb="1" eb="3">
      <t>トウキ</t>
    </rPh>
    <phoneticPr fontId="2"/>
  </si>
  <si>
    <t>⑦夏期</t>
    <rPh sb="1" eb="3">
      <t>カキ</t>
    </rPh>
    <phoneticPr fontId="2"/>
  </si>
  <si>
    <t>参考:6地域における基準値</t>
    <rPh sb="0" eb="2">
      <t>サンコウ</t>
    </rPh>
    <rPh sb="4" eb="6">
      <t>チイキ</t>
    </rPh>
    <rPh sb="10" eb="13">
      <t>キジュンチ</t>
    </rPh>
    <phoneticPr fontId="2"/>
  </si>
  <si>
    <t>（基準値なし）</t>
    <rPh sb="1" eb="4">
      <t>キジュンチ</t>
    </rPh>
    <phoneticPr fontId="2"/>
  </si>
  <si>
    <t>地域</t>
    <rPh sb="0" eb="2">
      <t>チイキ</t>
    </rPh>
    <phoneticPr fontId="2"/>
  </si>
  <si>
    <t>全体</t>
    <rPh sb="0" eb="2">
      <t>ゼンタイ</t>
    </rPh>
    <phoneticPr fontId="2"/>
  </si>
  <si>
    <t>土間の名称</t>
    <rPh sb="0" eb="2">
      <t>ドマ</t>
    </rPh>
    <rPh sb="3" eb="5">
      <t>メイショウ</t>
    </rPh>
    <phoneticPr fontId="2"/>
  </si>
  <si>
    <r>
      <t>面積
(m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</t>
    </r>
    <rPh sb="0" eb="2">
      <t>メンセキ</t>
    </rPh>
    <phoneticPr fontId="2"/>
  </si>
  <si>
    <t>面積に関すること</t>
    <rPh sb="0" eb="2">
      <t>メンセキ</t>
    </rPh>
    <rPh sb="3" eb="4">
      <t>カン</t>
    </rPh>
    <phoneticPr fontId="2"/>
  </si>
  <si>
    <t>－</t>
    <phoneticPr fontId="2"/>
  </si>
  <si>
    <t>ηAC値</t>
    <rPh sb="3" eb="4">
      <t>アタイ</t>
    </rPh>
    <phoneticPr fontId="2"/>
  </si>
  <si>
    <t>UA値</t>
    <rPh sb="2" eb="3">
      <t>アタイ</t>
    </rPh>
    <phoneticPr fontId="2"/>
  </si>
  <si>
    <t>地域の区分</t>
    <rPh sb="0" eb="2">
      <t>チイキ</t>
    </rPh>
    <rPh sb="3" eb="5">
      <t>クブン</t>
    </rPh>
    <phoneticPr fontId="2"/>
  </si>
  <si>
    <t>南西</t>
    <rPh sb="0" eb="2">
      <t>ナンセイ</t>
    </rPh>
    <phoneticPr fontId="2"/>
  </si>
  <si>
    <t>北西</t>
    <rPh sb="0" eb="2">
      <t>ホクセイ</t>
    </rPh>
    <phoneticPr fontId="2"/>
  </si>
  <si>
    <t>北東</t>
    <rPh sb="0" eb="2">
      <t>ホクトウ</t>
    </rPh>
    <phoneticPr fontId="2"/>
  </si>
  <si>
    <t>南東</t>
    <rPh sb="0" eb="2">
      <t>ナントウ</t>
    </rPh>
    <phoneticPr fontId="2"/>
  </si>
  <si>
    <t>m値の計算</t>
    <rPh sb="1" eb="2">
      <t>アタイ</t>
    </rPh>
    <rPh sb="3" eb="5">
      <t>ケイサン</t>
    </rPh>
    <phoneticPr fontId="2"/>
  </si>
  <si>
    <t>暖房の日除け効果係数</t>
    <rPh sb="0" eb="2">
      <t>ダンボウ</t>
    </rPh>
    <rPh sb="3" eb="5">
      <t>ヒヨ</t>
    </rPh>
    <rPh sb="6" eb="8">
      <t>コウカ</t>
    </rPh>
    <rPh sb="8" eb="10">
      <t>ケイスウ</t>
    </rPh>
    <phoneticPr fontId="2"/>
  </si>
  <si>
    <t>式</t>
    <rPh sb="0" eb="1">
      <t>シキ</t>
    </rPh>
    <phoneticPr fontId="2"/>
  </si>
  <si>
    <t>5a</t>
    <phoneticPr fontId="2"/>
  </si>
  <si>
    <t>5a</t>
    <phoneticPr fontId="2"/>
  </si>
  <si>
    <t>5a</t>
    <phoneticPr fontId="2"/>
  </si>
  <si>
    <t>5b</t>
    <phoneticPr fontId="2"/>
  </si>
  <si>
    <t>冷房の日除け効果係数(1～7地域)</t>
    <rPh sb="0" eb="2">
      <t>レイボウ</t>
    </rPh>
    <rPh sb="3" eb="5">
      <t>ヒヨ</t>
    </rPh>
    <rPh sb="6" eb="8">
      <t>コウカ</t>
    </rPh>
    <rPh sb="8" eb="10">
      <t>ケイスウ</t>
    </rPh>
    <rPh sb="14" eb="16">
      <t>チイキ</t>
    </rPh>
    <phoneticPr fontId="2"/>
  </si>
  <si>
    <t>冷房の日除け効果係数(8地域)</t>
    <rPh sb="0" eb="2">
      <t>レイボウ</t>
    </rPh>
    <rPh sb="3" eb="5">
      <t>ヒヨ</t>
    </rPh>
    <rPh sb="6" eb="8">
      <t>コウカ</t>
    </rPh>
    <rPh sb="8" eb="10">
      <t>ケイスウ</t>
    </rPh>
    <rPh sb="12" eb="14">
      <t>チイキ</t>
    </rPh>
    <phoneticPr fontId="2"/>
  </si>
  <si>
    <t>6c</t>
    <phoneticPr fontId="2"/>
  </si>
  <si>
    <t>6b</t>
    <phoneticPr fontId="2"/>
  </si>
  <si>
    <t>6a</t>
    <phoneticPr fontId="2"/>
  </si>
  <si>
    <t>6b</t>
    <phoneticPr fontId="2"/>
  </si>
  <si>
    <t>地盤（中央部）</t>
    <rPh sb="0" eb="2">
      <t>ジバン</t>
    </rPh>
    <rPh sb="3" eb="6">
      <t>チュウオウブ</t>
    </rPh>
    <phoneticPr fontId="2"/>
  </si>
  <si>
    <t>地盤（ペリメーター部）</t>
    <rPh sb="0" eb="2">
      <t>ジバン</t>
    </rPh>
    <rPh sb="9" eb="10">
      <t>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</si>
</sst>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_ "/>
    <numFmt numFmtId="178" formatCode="0.00_ "/>
    <numFmt numFmtId="179" formatCode="0_ 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perscript"/>
      <sz val="9"/>
      <color theme="1"/>
      <name val="Meiryo UI"/>
      <family val="3"/>
      <charset val="128"/>
    </font>
    <font>
      <vertAlign val="subscript"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14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32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 shrinkToFit="1"/>
    </xf>
    <xf numFmtId="0" fontId="1" fillId="3" borderId="35" xfId="0" applyFont="1" applyFill="1" applyBorder="1" applyAlignment="1">
      <alignment horizontal="center" vertical="center" shrinkToFit="1"/>
    </xf>
    <xf numFmtId="0" fontId="1" fillId="3" borderId="37" xfId="0" applyFont="1" applyFill="1" applyBorder="1" applyAlignment="1">
      <alignment horizontal="center" vertical="center" shrinkToFit="1"/>
    </xf>
    <xf numFmtId="0" fontId="1" fillId="3" borderId="38" xfId="0" applyFont="1" applyFill="1" applyBorder="1" applyAlignment="1">
      <alignment horizontal="center" vertical="center" shrinkToFit="1"/>
    </xf>
    <xf numFmtId="0" fontId="1" fillId="0" borderId="35" xfId="0" applyFont="1" applyFill="1" applyBorder="1" applyAlignment="1">
      <alignment horizontal="center" vertical="center" shrinkToFit="1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2" borderId="48" xfId="0" applyFont="1" applyFill="1" applyBorder="1" applyAlignment="1">
      <alignment wrapText="1"/>
    </xf>
    <xf numFmtId="0" fontId="4" fillId="2" borderId="52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2" borderId="2" xfId="0" applyFont="1" applyFill="1" applyBorder="1" applyAlignment="1"/>
    <xf numFmtId="0" fontId="4" fillId="2" borderId="48" xfId="0" applyFont="1" applyFill="1" applyBorder="1" applyAlignment="1">
      <alignment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vertical="center" wrapText="1"/>
    </xf>
    <xf numFmtId="0" fontId="4" fillId="2" borderId="52" xfId="0" applyFont="1" applyFill="1" applyBorder="1" applyAlignment="1">
      <alignment vertical="center" wrapText="1"/>
    </xf>
    <xf numFmtId="0" fontId="4" fillId="2" borderId="51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2" borderId="10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177" fontId="4" fillId="4" borderId="36" xfId="0" applyNumberFormat="1" applyFont="1" applyFill="1" applyBorder="1"/>
    <xf numFmtId="177" fontId="4" fillId="4" borderId="20" xfId="0" applyNumberFormat="1" applyFont="1" applyFill="1" applyBorder="1"/>
    <xf numFmtId="178" fontId="4" fillId="4" borderId="20" xfId="0" applyNumberFormat="1" applyFont="1" applyFill="1" applyBorder="1"/>
    <xf numFmtId="178" fontId="4" fillId="4" borderId="21" xfId="0" applyNumberFormat="1" applyFont="1" applyFill="1" applyBorder="1"/>
    <xf numFmtId="177" fontId="4" fillId="4" borderId="35" xfId="0" applyNumberFormat="1" applyFont="1" applyFill="1" applyBorder="1"/>
    <xf numFmtId="177" fontId="4" fillId="4" borderId="1" xfId="0" applyNumberFormat="1" applyFont="1" applyFill="1" applyBorder="1"/>
    <xf numFmtId="178" fontId="4" fillId="4" borderId="1" xfId="0" applyNumberFormat="1" applyFont="1" applyFill="1" applyBorder="1"/>
    <xf numFmtId="178" fontId="4" fillId="4" borderId="10" xfId="0" applyNumberFormat="1" applyFont="1" applyFill="1" applyBorder="1"/>
    <xf numFmtId="177" fontId="4" fillId="4" borderId="37" xfId="0" applyNumberFormat="1" applyFont="1" applyFill="1" applyBorder="1"/>
    <xf numFmtId="177" fontId="4" fillId="4" borderId="33" xfId="0" applyNumberFormat="1" applyFont="1" applyFill="1" applyBorder="1"/>
    <xf numFmtId="178" fontId="4" fillId="4" borderId="33" xfId="0" applyNumberFormat="1" applyFont="1" applyFill="1" applyBorder="1"/>
    <xf numFmtId="178" fontId="4" fillId="4" borderId="34" xfId="0" applyNumberFormat="1" applyFont="1" applyFill="1" applyBorder="1"/>
    <xf numFmtId="177" fontId="4" fillId="4" borderId="53" xfId="0" applyNumberFormat="1" applyFont="1" applyFill="1" applyBorder="1"/>
    <xf numFmtId="177" fontId="4" fillId="4" borderId="48" xfId="0" applyNumberFormat="1" applyFont="1" applyFill="1" applyBorder="1"/>
    <xf numFmtId="178" fontId="4" fillId="4" borderId="48" xfId="0" applyNumberFormat="1" applyFont="1" applyFill="1" applyBorder="1"/>
    <xf numFmtId="178" fontId="4" fillId="4" borderId="52" xfId="0" applyNumberFormat="1" applyFont="1" applyFill="1" applyBorder="1"/>
    <xf numFmtId="178" fontId="4" fillId="4" borderId="30" xfId="0" applyNumberFormat="1" applyFont="1" applyFill="1" applyBorder="1"/>
    <xf numFmtId="177" fontId="4" fillId="4" borderId="40" xfId="0" applyNumberFormat="1" applyFont="1" applyFill="1" applyBorder="1"/>
    <xf numFmtId="177" fontId="4" fillId="4" borderId="31" xfId="0" applyNumberFormat="1" applyFont="1" applyFill="1" applyBorder="1"/>
    <xf numFmtId="0" fontId="4" fillId="4" borderId="53" xfId="0" applyFont="1" applyFill="1" applyBorder="1"/>
    <xf numFmtId="0" fontId="4" fillId="4" borderId="48" xfId="0" applyFont="1" applyFill="1" applyBorder="1"/>
    <xf numFmtId="0" fontId="4" fillId="4" borderId="52" xfId="0" applyFont="1" applyFill="1" applyBorder="1"/>
    <xf numFmtId="178" fontId="4" fillId="4" borderId="19" xfId="0" applyNumberFormat="1" applyFont="1" applyFill="1" applyBorder="1"/>
    <xf numFmtId="177" fontId="4" fillId="4" borderId="21" xfId="0" applyNumberFormat="1" applyFont="1" applyFill="1" applyBorder="1"/>
    <xf numFmtId="0" fontId="4" fillId="4" borderId="30" xfId="0" applyFont="1" applyFill="1" applyBorder="1"/>
    <xf numFmtId="0" fontId="4" fillId="4" borderId="40" xfId="0" applyFont="1" applyFill="1" applyBorder="1"/>
    <xf numFmtId="0" fontId="4" fillId="4" borderId="31" xfId="0" applyFont="1" applyFill="1" applyBorder="1"/>
    <xf numFmtId="179" fontId="4" fillId="4" borderId="19" xfId="0" applyNumberFormat="1" applyFont="1" applyFill="1" applyBorder="1"/>
    <xf numFmtId="179" fontId="4" fillId="4" borderId="20" xfId="0" applyNumberFormat="1" applyFont="1" applyFill="1" applyBorder="1"/>
    <xf numFmtId="179" fontId="4" fillId="4" borderId="21" xfId="0" applyNumberFormat="1" applyFont="1" applyFill="1" applyBorder="1"/>
    <xf numFmtId="179" fontId="4" fillId="4" borderId="9" xfId="0" applyNumberFormat="1" applyFont="1" applyFill="1" applyBorder="1"/>
    <xf numFmtId="179" fontId="4" fillId="4" borderId="1" xfId="0" applyNumberFormat="1" applyFont="1" applyFill="1" applyBorder="1"/>
    <xf numFmtId="179" fontId="4" fillId="4" borderId="10" xfId="0" applyNumberFormat="1" applyFont="1" applyFill="1" applyBorder="1"/>
    <xf numFmtId="179" fontId="4" fillId="4" borderId="12" xfId="0" applyNumberFormat="1" applyFont="1" applyFill="1" applyBorder="1"/>
    <xf numFmtId="179" fontId="4" fillId="4" borderId="13" xfId="0" applyNumberFormat="1" applyFont="1" applyFill="1" applyBorder="1"/>
    <xf numFmtId="179" fontId="4" fillId="4" borderId="14" xfId="0" applyNumberFormat="1" applyFont="1" applyFill="1" applyBorder="1"/>
    <xf numFmtId="179" fontId="4" fillId="4" borderId="51" xfId="0" applyNumberFormat="1" applyFont="1" applyFill="1" applyBorder="1"/>
    <xf numFmtId="179" fontId="4" fillId="4" borderId="48" xfId="0" applyNumberFormat="1" applyFont="1" applyFill="1" applyBorder="1"/>
    <xf numFmtId="179" fontId="4" fillId="4" borderId="52" xfId="0" applyNumberFormat="1" applyFont="1" applyFill="1" applyBorder="1"/>
    <xf numFmtId="0" fontId="4" fillId="0" borderId="2" xfId="0" applyFont="1" applyBorder="1"/>
    <xf numFmtId="176" fontId="1" fillId="3" borderId="4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0" xfId="0" applyFont="1" applyFill="1"/>
    <xf numFmtId="0" fontId="1" fillId="2" borderId="54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51" xfId="0" applyFont="1" applyFill="1" applyBorder="1" applyAlignment="1"/>
    <xf numFmtId="0" fontId="0" fillId="2" borderId="52" xfId="0" applyFill="1" applyBorder="1" applyAlignment="1"/>
    <xf numFmtId="0" fontId="4" fillId="0" borderId="3" xfId="0" applyFont="1" applyBorder="1" applyAlignment="1"/>
    <xf numFmtId="0" fontId="0" fillId="0" borderId="23" xfId="0" applyBorder="1" applyAlignment="1"/>
    <xf numFmtId="0" fontId="0" fillId="0" borderId="24" xfId="0" applyBorder="1" applyAlignment="1"/>
    <xf numFmtId="0" fontId="4" fillId="2" borderId="5" xfId="0" applyFont="1" applyFill="1" applyBorder="1" applyAlignment="1">
      <alignment wrapText="1"/>
    </xf>
    <xf numFmtId="0" fontId="0" fillId="2" borderId="7" xfId="0" applyFill="1" applyBorder="1" applyAlignment="1"/>
    <xf numFmtId="0" fontId="4" fillId="2" borderId="9" xfId="0" applyFont="1" applyFill="1" applyBorder="1" applyAlignment="1">
      <alignment wrapText="1"/>
    </xf>
    <xf numFmtId="0" fontId="0" fillId="2" borderId="12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0296671939841"/>
          <c:y val="6.0724746090350924E-2"/>
          <c:w val="0.55317892948764114"/>
          <c:h val="0.69855785744064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合計!$L$7</c:f>
              <c:numCache>
                <c:formatCode>0_ </c:formatCode>
                <c:ptCount val="1"/>
                <c:pt idx="0">
                  <c:v>6206.3903330276653</c:v>
                </c:pt>
              </c:numCache>
            </c:numRef>
          </c:val>
        </c:ser>
        <c:ser>
          <c:idx val="1"/>
          <c:order val="1"/>
          <c:tx>
            <c:strRef>
              <c:f>合計!$B$8</c:f>
              <c:strCache>
                <c:ptCount val="1"/>
                <c:pt idx="0">
                  <c:v>間仕切り壁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合計!$L$8</c:f>
              <c:numCache>
                <c:formatCode>0_ </c:formatCode>
                <c:ptCount val="1"/>
                <c:pt idx="0">
                  <c:v>158.20889111369397</c:v>
                </c:pt>
              </c:numCache>
            </c:numRef>
          </c:val>
        </c:ser>
        <c:ser>
          <c:idx val="2"/>
          <c:order val="2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合計!$L$9</c:f>
              <c:numCache>
                <c:formatCode>0_ </c:formatCode>
                <c:ptCount val="1"/>
                <c:pt idx="0">
                  <c:v>3822.8929411764702</c:v>
                </c:pt>
              </c:numCache>
            </c:numRef>
          </c:val>
        </c:ser>
        <c:ser>
          <c:idx val="3"/>
          <c:order val="3"/>
          <c:tx>
            <c:strRef>
              <c:f>合計!$B$10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合計!$L$10</c:f>
              <c:numCache>
                <c:formatCode>0_ </c:formatCode>
                <c:ptCount val="1"/>
                <c:pt idx="0">
                  <c:v>825.201307177648</c:v>
                </c:pt>
              </c:numCache>
            </c:numRef>
          </c:val>
        </c:ser>
        <c:ser>
          <c:idx val="4"/>
          <c:order val="4"/>
          <c:tx>
            <c:strRef>
              <c:f>合計!$B$11</c:f>
              <c:strCache>
                <c:ptCount val="1"/>
                <c:pt idx="0">
                  <c:v>土間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合計!$L$11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合計!$B$12</c:f>
              <c:strCache>
                <c:ptCount val="1"/>
                <c:pt idx="0">
                  <c:v>ドア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合計!$L$12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合計!$B$13</c:f>
              <c:strCache>
                <c:ptCount val="1"/>
                <c:pt idx="0">
                  <c:v>窓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合計!$L$13</c:f>
              <c:numCache>
                <c:formatCode>0_ </c:formatCode>
                <c:ptCount val="1"/>
                <c:pt idx="0">
                  <c:v>3087.3675000000003</c:v>
                </c:pt>
              </c:numCache>
            </c:numRef>
          </c:val>
        </c:ser>
        <c:ser>
          <c:idx val="7"/>
          <c:order val="7"/>
          <c:tx>
            <c:strRef>
              <c:f>合計!$B$14</c:f>
              <c:strCache>
                <c:ptCount val="1"/>
                <c:pt idx="0">
                  <c:v>地盤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合計!$L$14</c:f>
              <c:numCache>
                <c:formatCode>0_ </c:formatCode>
                <c:ptCount val="1"/>
                <c:pt idx="0">
                  <c:v>648.37800000000004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128064"/>
        <c:axId val="328131872"/>
      </c:barChart>
      <c:catAx>
        <c:axId val="3281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28131872"/>
        <c:crosses val="autoZero"/>
        <c:auto val="1"/>
        <c:lblAlgn val="ctr"/>
        <c:lblOffset val="100"/>
        <c:noMultiLvlLbl val="0"/>
      </c:catAx>
      <c:valAx>
        <c:axId val="32813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128064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5810259936586"/>
          <c:y val="0.11069528399710847"/>
          <c:w val="0.27656308888580328"/>
          <c:h val="0.82646366931345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日射による熱取得量</a:t>
            </a:r>
            <a:r>
              <a:rPr lang="en-US" altLang="ja-JP" sz="1400">
                <a:latin typeface="メイリオ" panose="020B0604030504040204" pitchFamily="50" charset="-128"/>
                <a:ea typeface="メイリオ" panose="020B0604030504040204" pitchFamily="50" charset="-128"/>
              </a:rPr>
              <a:t>(kW)</a:t>
            </a:r>
          </a:p>
        </c:rich>
      </c:tx>
      <c:layout>
        <c:manualLayout>
          <c:xMode val="edge"/>
          <c:yMode val="edge"/>
          <c:x val="0.14387001050694648"/>
          <c:y val="0.8639077463667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40277840058113"/>
          <c:y val="5.1249312076147996E-2"/>
          <c:w val="0.56268017701566575"/>
          <c:h val="0.68113410093691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合計!$M$7:$N$7</c:f>
              <c:numCache>
                <c:formatCode>0_ </c:formatCode>
                <c:ptCount val="2"/>
                <c:pt idx="0">
                  <c:v>4119.5596356671886</c:v>
                </c:pt>
                <c:pt idx="1">
                  <c:v>3060.0048918866837</c:v>
                </c:pt>
              </c:numCache>
            </c:numRef>
          </c:val>
        </c:ser>
        <c:ser>
          <c:idx val="2"/>
          <c:order val="1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合計!$M$9:$N$9</c:f>
              <c:numCache>
                <c:formatCode>0_ </c:formatCode>
                <c:ptCount val="2"/>
                <c:pt idx="0">
                  <c:v>4549.2426000000005</c:v>
                </c:pt>
                <c:pt idx="1">
                  <c:v>4549.2426000000005</c:v>
                </c:pt>
              </c:numCache>
            </c:numRef>
          </c:val>
        </c:ser>
        <c:ser>
          <c:idx val="5"/>
          <c:order val="2"/>
          <c:tx>
            <c:strRef>
              <c:f>合計!$B$12</c:f>
              <c:strCache>
                <c:ptCount val="1"/>
                <c:pt idx="0">
                  <c:v>ドア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合計!$M$12:$N$12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3"/>
          <c:tx>
            <c:strRef>
              <c:f>合計!$B$13</c:f>
              <c:strCache>
                <c:ptCount val="1"/>
                <c:pt idx="0">
                  <c:v>窓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合計!$M$13:$N$13</c:f>
              <c:numCache>
                <c:formatCode>0_ </c:formatCode>
                <c:ptCount val="2"/>
                <c:pt idx="0">
                  <c:v>3701.4444546633918</c:v>
                </c:pt>
                <c:pt idx="1">
                  <c:v>5260.972759424697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123712"/>
        <c:axId val="328130240"/>
      </c:barChart>
      <c:catAx>
        <c:axId val="3281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28130240"/>
        <c:crosses val="autoZero"/>
        <c:auto val="1"/>
        <c:lblAlgn val="ctr"/>
        <c:lblOffset val="100"/>
        <c:noMultiLvlLbl val="0"/>
      </c:catAx>
      <c:valAx>
        <c:axId val="32813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123712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5810259936586"/>
          <c:y val="0.11069528399710847"/>
          <c:w val="0.27786746146341851"/>
          <c:h val="0.8235244188990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81643</xdr:colOff>
      <xdr:row>15</xdr:row>
      <xdr:rowOff>149679</xdr:rowOff>
    </xdr:from>
    <xdr:to>
      <xdr:col>11</xdr:col>
      <xdr:colOff>122466</xdr:colOff>
      <xdr:row>25</xdr:row>
      <xdr:rowOff>51708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204108</xdr:colOff>
      <xdr:row>15</xdr:row>
      <xdr:rowOff>149679</xdr:rowOff>
    </xdr:from>
    <xdr:to>
      <xdr:col>14</xdr:col>
      <xdr:colOff>544287</xdr:colOff>
      <xdr:row>25</xdr:row>
      <xdr:rowOff>51708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75" zoomScaleNormal="75" zoomScaleSheetLayoutView="120" workbookViewId="0">
      <selection activeCell="B3" sqref="B3:D3"/>
    </sheetView>
  </sheetViews>
  <sheetFormatPr defaultRowHeight="18.75" x14ac:dyDescent="0.45"/>
  <cols>
    <col min="1" max="1" width="1.625" style="1" customWidth="1"/>
    <col min="2" max="2" width="13.25" style="1" bestFit="1" customWidth="1"/>
    <col min="3" max="3" width="11" style="1" customWidth="1"/>
    <col min="4" max="4" width="14.5" style="1" bestFit="1" customWidth="1"/>
    <col min="5" max="5" width="16.75" style="1" bestFit="1" customWidth="1"/>
    <col min="6" max="6" width="16.625" style="1" bestFit="1" customWidth="1"/>
    <col min="7" max="7" width="2" style="1" customWidth="1"/>
    <col min="8" max="8" width="10.75" style="1" bestFit="1" customWidth="1"/>
    <col min="9" max="9" width="16.25" style="1" bestFit="1" customWidth="1"/>
    <col min="10" max="10" width="16.25" style="2" bestFit="1" customWidth="1"/>
    <col min="11" max="11" width="9" style="1"/>
    <col min="12" max="12" width="17.5" style="1" bestFit="1" customWidth="1"/>
    <col min="13" max="14" width="15.375" style="1" bestFit="1" customWidth="1"/>
    <col min="15" max="16384" width="9" style="1"/>
  </cols>
  <sheetData>
    <row r="1" spans="2:14" ht="19.5" thickBot="1" x14ac:dyDescent="0.5"/>
    <row r="2" spans="2:14" ht="19.5" thickBot="1" x14ac:dyDescent="0.5">
      <c r="B2" s="1" t="s">
        <v>8</v>
      </c>
      <c r="F2" s="1" t="s">
        <v>203</v>
      </c>
      <c r="L2" s="162" t="s">
        <v>198</v>
      </c>
      <c r="M2" s="163"/>
      <c r="N2" s="99">
        <v>20</v>
      </c>
    </row>
    <row r="3" spans="2:14" ht="19.5" thickBot="1" x14ac:dyDescent="0.5">
      <c r="B3" s="159" t="s">
        <v>121</v>
      </c>
      <c r="C3" s="160"/>
      <c r="D3" s="161"/>
      <c r="F3" s="143">
        <v>6</v>
      </c>
      <c r="L3" s="164" t="s">
        <v>196</v>
      </c>
      <c r="M3" s="102" t="s">
        <v>199</v>
      </c>
      <c r="N3" s="100">
        <v>700</v>
      </c>
    </row>
    <row r="4" spans="2:14" ht="19.5" thickBot="1" x14ac:dyDescent="0.5">
      <c r="B4" s="98"/>
      <c r="C4" s="86"/>
      <c r="D4" s="86"/>
      <c r="L4" s="165"/>
      <c r="M4" s="89" t="s">
        <v>200</v>
      </c>
      <c r="N4" s="101">
        <v>700</v>
      </c>
    </row>
    <row r="5" spans="2:14" ht="19.5" thickBot="1" x14ac:dyDescent="0.5"/>
    <row r="6" spans="2:14" ht="57" thickBot="1" x14ac:dyDescent="0.5">
      <c r="B6" s="90"/>
      <c r="C6" s="92" t="s">
        <v>184</v>
      </c>
      <c r="D6" s="93" t="s">
        <v>185</v>
      </c>
      <c r="E6" s="93" t="s">
        <v>186</v>
      </c>
      <c r="F6" s="94" t="s">
        <v>187</v>
      </c>
      <c r="H6" s="95" t="s">
        <v>188</v>
      </c>
      <c r="I6" s="91" t="s">
        <v>193</v>
      </c>
      <c r="J6" s="96" t="s">
        <v>192</v>
      </c>
      <c r="L6" s="97" t="s">
        <v>195</v>
      </c>
      <c r="M6" s="87" t="s">
        <v>194</v>
      </c>
      <c r="N6" s="88" t="s">
        <v>197</v>
      </c>
    </row>
    <row r="7" spans="2:14" x14ac:dyDescent="0.45">
      <c r="B7" s="82" t="s">
        <v>178</v>
      </c>
      <c r="C7" s="104">
        <f>'不透明な部位（窓以外・ドアを含む）'!I107</f>
        <v>103.56937000000001</v>
      </c>
      <c r="D7" s="105">
        <f>'不透明な部位（窓以外・ドアを含む）'!M107</f>
        <v>310.31951665138325</v>
      </c>
      <c r="E7" s="106">
        <f>'不透明な部位（窓以外・ドアを含む）'!R107</f>
        <v>5.8850851938102693</v>
      </c>
      <c r="F7" s="107">
        <f>'不透明な部位（窓以外・ドアを含む）'!V107</f>
        <v>4.3714355598381198</v>
      </c>
      <c r="H7" s="126">
        <f>IF($C7=0,0,D7/$C7)</f>
        <v>2.9962479896458118</v>
      </c>
      <c r="I7" s="105">
        <f>IF($C7=0,0,E7/$C7)*100</f>
        <v>5.6822641615086278</v>
      </c>
      <c r="J7" s="127">
        <f>IF($C7=0,0,F7/$C7)*100</f>
        <v>4.2207802942492743</v>
      </c>
      <c r="L7" s="131">
        <f t="shared" ref="L7:L14" si="0">D7*$N$2</f>
        <v>6206.3903330276653</v>
      </c>
      <c r="M7" s="132">
        <f t="shared" ref="M7:M14" si="1">E7*$N$3</f>
        <v>4119.5596356671886</v>
      </c>
      <c r="N7" s="133">
        <f t="shared" ref="N7:N14" si="2">F7*$N$4</f>
        <v>3060.0048918866837</v>
      </c>
    </row>
    <row r="8" spans="2:14" x14ac:dyDescent="0.45">
      <c r="B8" s="83" t="s">
        <v>179</v>
      </c>
      <c r="C8" s="108">
        <f>'不透明な部位（窓以外・ドアを含む）'!I108</f>
        <v>19.343429999999998</v>
      </c>
      <c r="D8" s="109">
        <f>'不透明な部位（窓以外・ドアを含む）'!M108</f>
        <v>7.9104445556846983</v>
      </c>
      <c r="E8" s="110">
        <f>'不透明な部位（窓以外・ドアを含む）'!R108</f>
        <v>0</v>
      </c>
      <c r="F8" s="111">
        <f>'不透明な部位（窓以外・ドアを含む）'!V108</f>
        <v>0</v>
      </c>
      <c r="H8" s="126">
        <f t="shared" ref="H8:H13" si="3">IF($C8=0,0,D8/$C8)</f>
        <v>0.40894735606274063</v>
      </c>
      <c r="I8" s="105">
        <f t="shared" ref="I8:I13" si="4">IF($C8=0,0,E8/$C8)*100</f>
        <v>0</v>
      </c>
      <c r="J8" s="127">
        <f t="shared" ref="J8:J13" si="5">IF($C8=0,0,F8/$C8)*100</f>
        <v>0</v>
      </c>
      <c r="L8" s="134">
        <f t="shared" si="0"/>
        <v>158.20889111369397</v>
      </c>
      <c r="M8" s="135">
        <f t="shared" si="1"/>
        <v>0</v>
      </c>
      <c r="N8" s="136">
        <f t="shared" si="2"/>
        <v>0</v>
      </c>
    </row>
    <row r="9" spans="2:14" x14ac:dyDescent="0.45">
      <c r="B9" s="83" t="s">
        <v>180</v>
      </c>
      <c r="C9" s="108">
        <f>'不透明な部位（窓以外・ドアを含む）'!I109</f>
        <v>48.741884999999996</v>
      </c>
      <c r="D9" s="109">
        <f>'不透明な部位（窓以外・ドアを含む）'!M109</f>
        <v>191.14464705882352</v>
      </c>
      <c r="E9" s="110">
        <f>'不透明な部位（窓以外・ドアを含む）'!R109</f>
        <v>6.4989180000000006</v>
      </c>
      <c r="F9" s="111">
        <f>'不透明な部位（窓以外・ドアを含む）'!V109</f>
        <v>6.4989180000000006</v>
      </c>
      <c r="H9" s="126">
        <f t="shared" si="3"/>
        <v>3.9215686274509807</v>
      </c>
      <c r="I9" s="105">
        <f t="shared" si="4"/>
        <v>13.333333333333336</v>
      </c>
      <c r="J9" s="127">
        <f t="shared" si="5"/>
        <v>13.333333333333336</v>
      </c>
      <c r="L9" s="134">
        <f t="shared" si="0"/>
        <v>3822.8929411764702</v>
      </c>
      <c r="M9" s="135">
        <f t="shared" si="1"/>
        <v>4549.2426000000005</v>
      </c>
      <c r="N9" s="136">
        <f t="shared" si="2"/>
        <v>4549.2426000000005</v>
      </c>
    </row>
    <row r="10" spans="2:14" x14ac:dyDescent="0.45">
      <c r="B10" s="83" t="s">
        <v>181</v>
      </c>
      <c r="C10" s="108">
        <f>'不透明な部位（窓以外・ドアを含む）'!I110</f>
        <v>35.710335000000001</v>
      </c>
      <c r="D10" s="109">
        <f>'不透明な部位（窓以外・ドアを含む）'!M110</f>
        <v>41.2600653588824</v>
      </c>
      <c r="E10" s="110">
        <f>'不透明な部位（窓以外・ドアを含む）'!R110</f>
        <v>0</v>
      </c>
      <c r="F10" s="111">
        <f>'不透明な部位（窓以外・ドアを含む）'!V110</f>
        <v>0</v>
      </c>
      <c r="H10" s="126">
        <f t="shared" si="3"/>
        <v>1.1554096414632458</v>
      </c>
      <c r="I10" s="105">
        <f t="shared" si="4"/>
        <v>0</v>
      </c>
      <c r="J10" s="127">
        <f t="shared" si="5"/>
        <v>0</v>
      </c>
      <c r="L10" s="134">
        <f t="shared" si="0"/>
        <v>825.201307177648</v>
      </c>
      <c r="M10" s="135">
        <f t="shared" si="1"/>
        <v>0</v>
      </c>
      <c r="N10" s="136">
        <f t="shared" si="2"/>
        <v>0</v>
      </c>
    </row>
    <row r="11" spans="2:14" x14ac:dyDescent="0.45">
      <c r="B11" s="83" t="s">
        <v>182</v>
      </c>
      <c r="C11" s="108">
        <f>'不透明な部位（窓以外・ドアを含む）'!I111</f>
        <v>13.031549999999999</v>
      </c>
      <c r="D11" s="109">
        <f>'不透明な部位（窓以外・ドアを含む）'!M111</f>
        <v>0</v>
      </c>
      <c r="E11" s="110">
        <f>'不透明な部位（窓以外・ドアを含む）'!R111</f>
        <v>0</v>
      </c>
      <c r="F11" s="111">
        <f>'不透明な部位（窓以外・ドアを含む）'!V111</f>
        <v>0</v>
      </c>
      <c r="H11" s="126">
        <f t="shared" si="3"/>
        <v>0</v>
      </c>
      <c r="I11" s="105">
        <f t="shared" si="4"/>
        <v>0</v>
      </c>
      <c r="J11" s="127">
        <f t="shared" si="5"/>
        <v>0</v>
      </c>
      <c r="L11" s="134">
        <f t="shared" si="0"/>
        <v>0</v>
      </c>
      <c r="M11" s="135">
        <f t="shared" si="1"/>
        <v>0</v>
      </c>
      <c r="N11" s="136">
        <f t="shared" si="2"/>
        <v>0</v>
      </c>
    </row>
    <row r="12" spans="2:14" x14ac:dyDescent="0.45">
      <c r="B12" s="83" t="s">
        <v>183</v>
      </c>
      <c r="C12" s="108">
        <f>'不透明な部位（窓以外・ドアを含む）'!I112</f>
        <v>0</v>
      </c>
      <c r="D12" s="109">
        <f>'不透明な部位（窓以外・ドアを含む）'!M112</f>
        <v>0</v>
      </c>
      <c r="E12" s="110">
        <f>'不透明な部位（窓以外・ドアを含む）'!R112</f>
        <v>0</v>
      </c>
      <c r="F12" s="111">
        <f>'不透明な部位（窓以外・ドアを含む）'!V112</f>
        <v>0</v>
      </c>
      <c r="H12" s="126">
        <f t="shared" si="3"/>
        <v>0</v>
      </c>
      <c r="I12" s="105">
        <f t="shared" si="4"/>
        <v>0</v>
      </c>
      <c r="J12" s="127">
        <f t="shared" si="5"/>
        <v>0</v>
      </c>
      <c r="L12" s="134">
        <f t="shared" si="0"/>
        <v>0</v>
      </c>
      <c r="M12" s="135">
        <f t="shared" si="1"/>
        <v>0</v>
      </c>
      <c r="N12" s="136">
        <f t="shared" si="2"/>
        <v>0</v>
      </c>
    </row>
    <row r="13" spans="2:14" x14ac:dyDescent="0.45">
      <c r="B13" s="83" t="s">
        <v>175</v>
      </c>
      <c r="C13" s="108">
        <f>'透明な部位（窓）'!G37</f>
        <v>23.712499999999999</v>
      </c>
      <c r="D13" s="109">
        <f>'透明な部位（窓）'!I37</f>
        <v>154.36837500000001</v>
      </c>
      <c r="E13" s="110">
        <f>'透明な部位（窓）'!S37</f>
        <v>5.2877777923762741</v>
      </c>
      <c r="F13" s="111">
        <f>'透明な部位（窓）'!X37</f>
        <v>7.5156753706067096</v>
      </c>
      <c r="H13" s="126">
        <f t="shared" si="3"/>
        <v>6.5100000000000007</v>
      </c>
      <c r="I13" s="105">
        <f t="shared" si="4"/>
        <v>22.299537342651657</v>
      </c>
      <c r="J13" s="127">
        <f t="shared" si="5"/>
        <v>31.694993655695143</v>
      </c>
      <c r="L13" s="134">
        <f t="shared" si="0"/>
        <v>3087.3675000000003</v>
      </c>
      <c r="M13" s="135">
        <f t="shared" si="1"/>
        <v>3701.4444546633918</v>
      </c>
      <c r="N13" s="136">
        <f t="shared" si="2"/>
        <v>5260.972759424697</v>
      </c>
    </row>
    <row r="14" spans="2:14" ht="19.5" thickBot="1" x14ac:dyDescent="0.5">
      <c r="B14" s="84" t="s">
        <v>176</v>
      </c>
      <c r="C14" s="112">
        <f>地盤!J20</f>
        <v>3</v>
      </c>
      <c r="D14" s="113">
        <f>地盤!G20</f>
        <v>32.418900000000001</v>
      </c>
      <c r="E14" s="114">
        <v>0</v>
      </c>
      <c r="F14" s="115">
        <v>0</v>
      </c>
      <c r="H14" s="128" t="s">
        <v>177</v>
      </c>
      <c r="I14" s="129" t="s">
        <v>177</v>
      </c>
      <c r="J14" s="130" t="s">
        <v>177</v>
      </c>
      <c r="L14" s="137">
        <f t="shared" si="0"/>
        <v>648.37800000000004</v>
      </c>
      <c r="M14" s="138">
        <f t="shared" si="1"/>
        <v>0</v>
      </c>
      <c r="N14" s="139">
        <f t="shared" si="2"/>
        <v>0</v>
      </c>
    </row>
    <row r="15" spans="2:14" ht="19.5" thickBot="1" x14ac:dyDescent="0.5">
      <c r="B15" s="85" t="s">
        <v>148</v>
      </c>
      <c r="C15" s="116">
        <f>SUM(C7:C14)</f>
        <v>247.10907000000003</v>
      </c>
      <c r="D15" s="117">
        <f>SUM(D7:D14)</f>
        <v>737.4219486247739</v>
      </c>
      <c r="E15" s="118">
        <f>SUM(E7:E14)</f>
        <v>17.671780986186544</v>
      </c>
      <c r="F15" s="119">
        <f>SUM(F7:F14)</f>
        <v>18.38602893044483</v>
      </c>
      <c r="L15" s="140">
        <f>SUM(L7:L14)</f>
        <v>14748.438972495478</v>
      </c>
      <c r="M15" s="141">
        <f>SUM(M7:M14)</f>
        <v>12370.246690330581</v>
      </c>
      <c r="N15" s="142">
        <f>SUM(N7:N14)</f>
        <v>12870.220251311381</v>
      </c>
    </row>
    <row r="16" spans="2:14" ht="19.5" thickBot="1" x14ac:dyDescent="0.5">
      <c r="J16" s="1"/>
    </row>
    <row r="17" spans="2:6" ht="57" thickBot="1" x14ac:dyDescent="0.5">
      <c r="D17" s="97" t="s">
        <v>189</v>
      </c>
      <c r="E17" s="87" t="s">
        <v>190</v>
      </c>
      <c r="F17" s="88" t="s">
        <v>191</v>
      </c>
    </row>
    <row r="18" spans="2:6" ht="19.5" thickBot="1" x14ac:dyDescent="0.5">
      <c r="D18" s="120">
        <f>D15/C15</f>
        <v>2.9841962038251926</v>
      </c>
      <c r="E18" s="121">
        <f>E15/C15*100</f>
        <v>7.151409289099159</v>
      </c>
      <c r="F18" s="122">
        <f>F15/C15*100</f>
        <v>7.4404508626271095</v>
      </c>
    </row>
    <row r="19" spans="2:6" ht="19.5" thickBot="1" x14ac:dyDescent="0.5"/>
    <row r="20" spans="2:6" ht="19.5" thickBot="1" x14ac:dyDescent="0.5">
      <c r="B20" s="157" t="s">
        <v>201</v>
      </c>
      <c r="C20" s="158"/>
      <c r="D20" s="123">
        <f>VLOOKUP(F3,'(内部データ)基準値'!B3:D10,2,FALSE)</f>
        <v>0.87</v>
      </c>
      <c r="E20" s="124" t="s">
        <v>202</v>
      </c>
      <c r="F20" s="125">
        <f>VLOOKUP(F3,'(内部データ)基準値'!B3:D10,3,FALSE)</f>
        <v>2.8</v>
      </c>
    </row>
  </sheetData>
  <mergeCells count="4">
    <mergeCell ref="B20:C20"/>
    <mergeCell ref="B3:D3"/>
    <mergeCell ref="L2:M2"/>
    <mergeCell ref="L3:L4"/>
  </mergeCells>
  <phoneticPr fontId="2"/>
  <dataValidations count="1">
    <dataValidation type="list" allowBlank="1" showInputMessage="1" showErrorMessage="1" sqref="F3">
      <formula1>"1,2,3,4,5,6,7,8"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portrait" horizontalDpi="4294967293" verticalDpi="4294967293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113"/>
  <sheetViews>
    <sheetView view="pageBreakPreview" zoomScale="75" zoomScaleNormal="80" zoomScaleSheetLayoutView="75" workbookViewId="0">
      <selection activeCell="A6" sqref="A6"/>
    </sheetView>
  </sheetViews>
  <sheetFormatPr defaultRowHeight="15.75" x14ac:dyDescent="0.15"/>
  <cols>
    <col min="1" max="1" width="3.375" style="12" customWidth="1"/>
    <col min="2" max="2" width="5.5" style="12" bestFit="1" customWidth="1"/>
    <col min="3" max="3" width="19.75" style="12" customWidth="1"/>
    <col min="4" max="4" width="16.25" style="12" customWidth="1"/>
    <col min="5" max="5" width="10.375" style="12" bestFit="1" customWidth="1"/>
    <col min="6" max="9" width="16.25" style="12" customWidth="1"/>
    <col min="10" max="11" width="12.5" style="12" customWidth="1"/>
    <col min="12" max="12" width="13.625" style="12" customWidth="1"/>
    <col min="13" max="13" width="12.5" style="12" customWidth="1"/>
    <col min="14" max="14" width="10.75" style="12" bestFit="1" customWidth="1"/>
    <col min="15" max="16" width="12.5" style="12" customWidth="1"/>
    <col min="17" max="17" width="11.375" style="12" bestFit="1" customWidth="1"/>
    <col min="18" max="18" width="12.5" style="12" customWidth="1"/>
    <col min="19" max="19" width="12.375" style="12" customWidth="1"/>
    <col min="20" max="20" width="12.5" style="12" customWidth="1"/>
    <col min="21" max="21" width="11.375" style="12" bestFit="1" customWidth="1"/>
    <col min="22" max="22" width="12.5" style="12" customWidth="1"/>
    <col min="23" max="23" width="3.375" style="12" customWidth="1"/>
    <col min="24" max="16384" width="9" style="12"/>
  </cols>
  <sheetData>
    <row r="2" spans="2:22" ht="21.75" thickBot="1" x14ac:dyDescent="0.2">
      <c r="C2" s="37" t="s">
        <v>140</v>
      </c>
    </row>
    <row r="3" spans="2:22" ht="30" customHeight="1" thickBot="1" x14ac:dyDescent="0.2">
      <c r="B3" s="166" t="s">
        <v>9</v>
      </c>
      <c r="C3" s="167"/>
      <c r="D3" s="167"/>
      <c r="E3" s="168"/>
      <c r="F3" s="166" t="s">
        <v>10</v>
      </c>
      <c r="G3" s="167"/>
      <c r="H3" s="167"/>
      <c r="I3" s="168"/>
      <c r="J3" s="169" t="s">
        <v>13</v>
      </c>
      <c r="K3" s="167"/>
      <c r="L3" s="167"/>
      <c r="M3" s="168"/>
      <c r="N3" s="103" t="s">
        <v>216</v>
      </c>
      <c r="O3" s="166" t="s">
        <v>23</v>
      </c>
      <c r="P3" s="167"/>
      <c r="Q3" s="167"/>
      <c r="R3" s="168"/>
      <c r="S3" s="166" t="s">
        <v>30</v>
      </c>
      <c r="T3" s="167"/>
      <c r="U3" s="167"/>
      <c r="V3" s="168"/>
    </row>
    <row r="4" spans="2:22" ht="30" customHeight="1" x14ac:dyDescent="0.15">
      <c r="B4" s="170" t="s">
        <v>141</v>
      </c>
      <c r="C4" s="174" t="s">
        <v>0</v>
      </c>
      <c r="D4" s="176" t="s">
        <v>7</v>
      </c>
      <c r="E4" s="172" t="s">
        <v>142</v>
      </c>
      <c r="F4" s="3" t="s">
        <v>11</v>
      </c>
      <c r="G4" s="4" t="s">
        <v>12</v>
      </c>
      <c r="H4" s="4" t="s">
        <v>122</v>
      </c>
      <c r="I4" s="6" t="s">
        <v>16</v>
      </c>
      <c r="J4" s="3" t="s">
        <v>123</v>
      </c>
      <c r="K4" s="4" t="s">
        <v>124</v>
      </c>
      <c r="L4" s="4" t="s">
        <v>20</v>
      </c>
      <c r="M4" s="6" t="s">
        <v>21</v>
      </c>
      <c r="N4" s="155" t="s">
        <v>1</v>
      </c>
      <c r="O4" s="150" t="s">
        <v>27</v>
      </c>
      <c r="P4" s="4" t="s">
        <v>125</v>
      </c>
      <c r="Q4" s="4" t="s">
        <v>28</v>
      </c>
      <c r="R4" s="6" t="s">
        <v>126</v>
      </c>
      <c r="S4" s="4" t="s">
        <v>31</v>
      </c>
      <c r="T4" s="4" t="s">
        <v>127</v>
      </c>
      <c r="U4" s="4" t="s">
        <v>32</v>
      </c>
      <c r="V4" s="6" t="s">
        <v>128</v>
      </c>
    </row>
    <row r="5" spans="2:22" ht="16.5" thickBot="1" x14ac:dyDescent="0.2">
      <c r="B5" s="171"/>
      <c r="C5" s="175"/>
      <c r="D5" s="177"/>
      <c r="E5" s="173"/>
      <c r="F5" s="7" t="s">
        <v>14</v>
      </c>
      <c r="G5" s="8" t="s">
        <v>14</v>
      </c>
      <c r="H5" s="8" t="s">
        <v>14</v>
      </c>
      <c r="I5" s="10" t="s">
        <v>15</v>
      </c>
      <c r="J5" s="7" t="s">
        <v>17</v>
      </c>
      <c r="K5" s="8" t="s">
        <v>18</v>
      </c>
      <c r="L5" s="8" t="s">
        <v>19</v>
      </c>
      <c r="M5" s="10" t="s">
        <v>22</v>
      </c>
      <c r="N5" s="156" t="s">
        <v>24</v>
      </c>
      <c r="O5" s="151" t="s">
        <v>25</v>
      </c>
      <c r="P5" s="8" t="s">
        <v>26</v>
      </c>
      <c r="Q5" s="8" t="s">
        <v>34</v>
      </c>
      <c r="R5" s="10" t="s">
        <v>29</v>
      </c>
      <c r="S5" s="8" t="s">
        <v>25</v>
      </c>
      <c r="T5" s="8" t="s">
        <v>33</v>
      </c>
      <c r="U5" s="8" t="s">
        <v>34</v>
      </c>
      <c r="V5" s="10" t="s">
        <v>35</v>
      </c>
    </row>
    <row r="6" spans="2:22" ht="30" customHeight="1" x14ac:dyDescent="0.15">
      <c r="B6" s="13">
        <v>1</v>
      </c>
      <c r="C6" s="47" t="s">
        <v>68</v>
      </c>
      <c r="D6" s="54" t="s">
        <v>59</v>
      </c>
      <c r="E6" s="59" t="s">
        <v>143</v>
      </c>
      <c r="F6" s="17">
        <v>2.9550000000000001</v>
      </c>
      <c r="G6" s="18">
        <v>2.468</v>
      </c>
      <c r="H6" s="18">
        <f>1.7*2.85</f>
        <v>4.8449999999999998</v>
      </c>
      <c r="I6" s="60">
        <f t="shared" ref="I6:I27" si="0">F6*G6-H6</f>
        <v>2.44794</v>
      </c>
      <c r="J6" s="43">
        <v>3.4277582000542148</v>
      </c>
      <c r="K6" s="65">
        <f>I6</f>
        <v>2.44794</v>
      </c>
      <c r="L6" s="18">
        <v>1</v>
      </c>
      <c r="M6" s="60">
        <f t="shared" ref="M6:M37" si="1">J6*K6*L6</f>
        <v>8.3909464082407155</v>
      </c>
      <c r="N6" s="15" t="s">
        <v>133</v>
      </c>
      <c r="O6" s="152">
        <f>J6*0.034</f>
        <v>0.11654377880184331</v>
      </c>
      <c r="P6" s="65">
        <f t="shared" ref="P6:P37" si="2">K6</f>
        <v>2.44794</v>
      </c>
      <c r="Q6" s="18">
        <v>0.52300000000000002</v>
      </c>
      <c r="R6" s="60">
        <f t="shared" ref="R6:R37" si="3">O6*P6*Q6</f>
        <v>0.14920780903133643</v>
      </c>
      <c r="S6" s="65">
        <f t="shared" ref="S6:S37" si="4">J6*0.034</f>
        <v>0.11654377880184331</v>
      </c>
      <c r="T6" s="65">
        <f t="shared" ref="T6:T37" si="5">K6</f>
        <v>2.44794</v>
      </c>
      <c r="U6" s="18">
        <v>0.504</v>
      </c>
      <c r="V6" s="60">
        <f t="shared" ref="V6:V37" si="6">S6*T6*U6</f>
        <v>0.1437872576516129</v>
      </c>
    </row>
    <row r="7" spans="2:22" ht="30" customHeight="1" x14ac:dyDescent="0.15">
      <c r="B7" s="64">
        <v>2</v>
      </c>
      <c r="C7" s="48" t="s">
        <v>67</v>
      </c>
      <c r="D7" s="55" t="s">
        <v>81</v>
      </c>
      <c r="E7" s="38" t="s">
        <v>143</v>
      </c>
      <c r="F7" s="27">
        <v>0.78</v>
      </c>
      <c r="G7" s="23">
        <v>0.5</v>
      </c>
      <c r="H7" s="23">
        <v>0</v>
      </c>
      <c r="I7" s="61">
        <f t="shared" si="0"/>
        <v>0.39</v>
      </c>
      <c r="J7" s="44">
        <v>3.3446054031532038</v>
      </c>
      <c r="K7" s="66">
        <f>I7</f>
        <v>0.39</v>
      </c>
      <c r="L7" s="23">
        <v>1</v>
      </c>
      <c r="M7" s="61">
        <f t="shared" si="1"/>
        <v>1.3043961072297494</v>
      </c>
      <c r="N7" s="25" t="s">
        <v>133</v>
      </c>
      <c r="O7" s="153">
        <f>J7*0.034</f>
        <v>0.11371658370720894</v>
      </c>
      <c r="P7" s="66">
        <f t="shared" si="2"/>
        <v>0.39</v>
      </c>
      <c r="Q7" s="23">
        <v>0.52300000000000002</v>
      </c>
      <c r="R7" s="61">
        <f t="shared" si="3"/>
        <v>2.3194771578759411E-2</v>
      </c>
      <c r="S7" s="66">
        <f t="shared" si="4"/>
        <v>0.11371658370720894</v>
      </c>
      <c r="T7" s="66">
        <f t="shared" si="5"/>
        <v>0.39</v>
      </c>
      <c r="U7" s="23">
        <v>0.504</v>
      </c>
      <c r="V7" s="61">
        <f t="shared" si="6"/>
        <v>2.2352131693488993E-2</v>
      </c>
    </row>
    <row r="8" spans="2:22" ht="30" customHeight="1" x14ac:dyDescent="0.15">
      <c r="B8" s="64">
        <v>3</v>
      </c>
      <c r="C8" s="48" t="s">
        <v>67</v>
      </c>
      <c r="D8" s="55" t="s">
        <v>59</v>
      </c>
      <c r="E8" s="38" t="s">
        <v>143</v>
      </c>
      <c r="F8" s="27">
        <v>0.78</v>
      </c>
      <c r="G8" s="23">
        <v>1.968</v>
      </c>
      <c r="H8" s="23">
        <v>0</v>
      </c>
      <c r="I8" s="61">
        <f t="shared" si="0"/>
        <v>1.53504</v>
      </c>
      <c r="J8" s="44">
        <v>3.4277582000542148</v>
      </c>
      <c r="K8" s="66">
        <f t="shared" ref="K8:K71" si="7">I8</f>
        <v>1.53504</v>
      </c>
      <c r="L8" s="23">
        <v>1</v>
      </c>
      <c r="M8" s="61">
        <f t="shared" si="1"/>
        <v>5.2617459474112218</v>
      </c>
      <c r="N8" s="25" t="s">
        <v>133</v>
      </c>
      <c r="O8" s="153">
        <f t="shared" ref="O8:O71" si="8">J8*0.034</f>
        <v>0.11654377880184331</v>
      </c>
      <c r="P8" s="66">
        <f t="shared" si="2"/>
        <v>1.53504</v>
      </c>
      <c r="Q8" s="23">
        <v>0.52300000000000002</v>
      </c>
      <c r="R8" s="61">
        <f t="shared" si="3"/>
        <v>9.3564366436866359E-2</v>
      </c>
      <c r="S8" s="66">
        <f t="shared" si="4"/>
        <v>0.11654377880184331</v>
      </c>
      <c r="T8" s="66">
        <f t="shared" si="5"/>
        <v>1.53504</v>
      </c>
      <c r="U8" s="23">
        <v>0.504</v>
      </c>
      <c r="V8" s="61">
        <f t="shared" si="6"/>
        <v>9.0165278554838704E-2</v>
      </c>
    </row>
    <row r="9" spans="2:22" ht="30" customHeight="1" x14ac:dyDescent="0.15">
      <c r="B9" s="64">
        <v>4</v>
      </c>
      <c r="C9" s="48" t="s">
        <v>65</v>
      </c>
      <c r="D9" s="55" t="s">
        <v>66</v>
      </c>
      <c r="E9" s="38" t="s">
        <v>143</v>
      </c>
      <c r="F9" s="27">
        <v>2.9550000000000001</v>
      </c>
      <c r="G9" s="23">
        <v>2.468</v>
      </c>
      <c r="H9" s="23">
        <v>0</v>
      </c>
      <c r="I9" s="61">
        <f t="shared" si="0"/>
        <v>7.2929399999999998</v>
      </c>
      <c r="J9" s="44">
        <v>2.7263157070849378</v>
      </c>
      <c r="K9" s="66">
        <f t="shared" si="7"/>
        <v>7.2929399999999998</v>
      </c>
      <c r="L9" s="23">
        <v>1</v>
      </c>
      <c r="M9" s="61">
        <f t="shared" si="1"/>
        <v>19.882856872828025</v>
      </c>
      <c r="N9" s="25" t="s">
        <v>134</v>
      </c>
      <c r="O9" s="153">
        <f t="shared" si="8"/>
        <v>9.2694734040887891E-2</v>
      </c>
      <c r="P9" s="66">
        <f t="shared" si="2"/>
        <v>7.2929399999999998</v>
      </c>
      <c r="Q9" s="23">
        <v>0.26100000000000001</v>
      </c>
      <c r="R9" s="61">
        <f t="shared" si="3"/>
        <v>0.17644047188947592</v>
      </c>
      <c r="S9" s="66">
        <f t="shared" si="4"/>
        <v>9.2694734040887891E-2</v>
      </c>
      <c r="T9" s="66">
        <f t="shared" si="5"/>
        <v>7.2929399999999998</v>
      </c>
      <c r="U9" s="23">
        <v>0.34100000000000003</v>
      </c>
      <c r="V9" s="61">
        <f t="shared" si="6"/>
        <v>0.23052184258356817</v>
      </c>
    </row>
    <row r="10" spans="2:22" ht="30" customHeight="1" x14ac:dyDescent="0.15">
      <c r="B10" s="64">
        <v>5</v>
      </c>
      <c r="C10" s="48" t="s">
        <v>69</v>
      </c>
      <c r="D10" s="55" t="s">
        <v>66</v>
      </c>
      <c r="E10" s="38" t="s">
        <v>143</v>
      </c>
      <c r="F10" s="27">
        <v>2.0099999999999998</v>
      </c>
      <c r="G10" s="23">
        <v>2.468</v>
      </c>
      <c r="H10" s="23">
        <v>0</v>
      </c>
      <c r="I10" s="61">
        <f t="shared" si="0"/>
        <v>4.9606799999999991</v>
      </c>
      <c r="J10" s="44">
        <v>2.7263157070849378</v>
      </c>
      <c r="K10" s="66">
        <f t="shared" si="7"/>
        <v>4.9606799999999991</v>
      </c>
      <c r="L10" s="23">
        <v>1</v>
      </c>
      <c r="M10" s="61">
        <f t="shared" si="1"/>
        <v>13.524379801822107</v>
      </c>
      <c r="N10" s="25" t="s">
        <v>134</v>
      </c>
      <c r="O10" s="153">
        <f t="shared" si="8"/>
        <v>9.2694734040887891E-2</v>
      </c>
      <c r="P10" s="66">
        <f t="shared" si="2"/>
        <v>4.9606799999999991</v>
      </c>
      <c r="Q10" s="23">
        <v>0.26100000000000001</v>
      </c>
      <c r="R10" s="61">
        <f t="shared" si="3"/>
        <v>0.12001534636136937</v>
      </c>
      <c r="S10" s="66">
        <f t="shared" si="4"/>
        <v>9.2694734040887891E-2</v>
      </c>
      <c r="T10" s="66">
        <f t="shared" si="5"/>
        <v>4.9606799999999991</v>
      </c>
      <c r="U10" s="23">
        <v>0.34100000000000003</v>
      </c>
      <c r="V10" s="61">
        <f t="shared" si="6"/>
        <v>0.15680165942232552</v>
      </c>
    </row>
    <row r="11" spans="2:22" ht="30" customHeight="1" x14ac:dyDescent="0.15">
      <c r="B11" s="64">
        <v>6</v>
      </c>
      <c r="C11" s="48" t="s">
        <v>70</v>
      </c>
      <c r="D11" s="55" t="s">
        <v>66</v>
      </c>
      <c r="E11" s="38" t="s">
        <v>143</v>
      </c>
      <c r="F11" s="27">
        <v>3.9</v>
      </c>
      <c r="G11" s="23">
        <v>2.468</v>
      </c>
      <c r="H11" s="23">
        <v>0</v>
      </c>
      <c r="I11" s="61">
        <f t="shared" si="0"/>
        <v>9.6251999999999995</v>
      </c>
      <c r="J11" s="44">
        <v>2.7263157070849378</v>
      </c>
      <c r="K11" s="66">
        <f t="shared" si="7"/>
        <v>9.6251999999999995</v>
      </c>
      <c r="L11" s="23">
        <v>1</v>
      </c>
      <c r="M11" s="61">
        <f t="shared" si="1"/>
        <v>26.24133394383394</v>
      </c>
      <c r="N11" s="25" t="s">
        <v>134</v>
      </c>
      <c r="O11" s="153">
        <f t="shared" si="8"/>
        <v>9.2694734040887891E-2</v>
      </c>
      <c r="P11" s="66">
        <f t="shared" si="2"/>
        <v>9.6251999999999995</v>
      </c>
      <c r="Q11" s="23">
        <v>0.26100000000000001</v>
      </c>
      <c r="R11" s="61">
        <f t="shared" si="3"/>
        <v>0.23286559741758242</v>
      </c>
      <c r="S11" s="66">
        <f t="shared" si="4"/>
        <v>9.2694734040887891E-2</v>
      </c>
      <c r="T11" s="66">
        <f t="shared" si="5"/>
        <v>9.6251999999999995</v>
      </c>
      <c r="U11" s="23">
        <v>0.34100000000000003</v>
      </c>
      <c r="V11" s="61">
        <f t="shared" si="6"/>
        <v>0.30424202574481074</v>
      </c>
    </row>
    <row r="12" spans="2:22" ht="30" customHeight="1" x14ac:dyDescent="0.15">
      <c r="B12" s="64">
        <v>7</v>
      </c>
      <c r="C12" s="48" t="s">
        <v>71</v>
      </c>
      <c r="D12" s="55" t="s">
        <v>66</v>
      </c>
      <c r="E12" s="38" t="s">
        <v>143</v>
      </c>
      <c r="F12" s="27">
        <v>0.69599999999999995</v>
      </c>
      <c r="G12" s="23">
        <v>2.468</v>
      </c>
      <c r="H12" s="23">
        <v>0</v>
      </c>
      <c r="I12" s="61">
        <f t="shared" si="0"/>
        <v>1.7177279999999999</v>
      </c>
      <c r="J12" s="44">
        <v>2.7263157070849378</v>
      </c>
      <c r="K12" s="66">
        <f t="shared" si="7"/>
        <v>1.7177279999999999</v>
      </c>
      <c r="L12" s="23">
        <v>1</v>
      </c>
      <c r="M12" s="61">
        <f t="shared" si="1"/>
        <v>4.6830688268995955</v>
      </c>
      <c r="N12" s="25" t="s">
        <v>134</v>
      </c>
      <c r="O12" s="153">
        <f t="shared" si="8"/>
        <v>9.2694734040887891E-2</v>
      </c>
      <c r="P12" s="66">
        <f t="shared" si="2"/>
        <v>1.7177279999999999</v>
      </c>
      <c r="Q12" s="23">
        <v>0.26100000000000001</v>
      </c>
      <c r="R12" s="61">
        <f t="shared" si="3"/>
        <v>4.1557552769907018E-2</v>
      </c>
      <c r="S12" s="66">
        <f t="shared" si="4"/>
        <v>9.2694734040887891E-2</v>
      </c>
      <c r="T12" s="66">
        <f t="shared" si="5"/>
        <v>1.7177279999999999</v>
      </c>
      <c r="U12" s="23">
        <v>0.34100000000000003</v>
      </c>
      <c r="V12" s="61">
        <f t="shared" si="6"/>
        <v>5.4295499979073923E-2</v>
      </c>
    </row>
    <row r="13" spans="2:22" ht="30" customHeight="1" x14ac:dyDescent="0.15">
      <c r="B13" s="64">
        <v>8</v>
      </c>
      <c r="C13" s="48" t="s">
        <v>72</v>
      </c>
      <c r="D13" s="55" t="s">
        <v>60</v>
      </c>
      <c r="E13" s="38" t="s">
        <v>143</v>
      </c>
      <c r="F13" s="27">
        <v>0.78</v>
      </c>
      <c r="G13" s="40">
        <v>1.7</v>
      </c>
      <c r="H13" s="23">
        <v>0</v>
      </c>
      <c r="I13" s="61">
        <f t="shared" si="0"/>
        <v>1.3260000000000001</v>
      </c>
      <c r="J13" s="44">
        <v>2.8985507246376816</v>
      </c>
      <c r="K13" s="66">
        <f t="shared" si="7"/>
        <v>1.3260000000000001</v>
      </c>
      <c r="L13" s="23">
        <v>1</v>
      </c>
      <c r="M13" s="61">
        <f t="shared" si="1"/>
        <v>3.8434782608695661</v>
      </c>
      <c r="N13" s="25" t="s">
        <v>135</v>
      </c>
      <c r="O13" s="153">
        <f t="shared" si="8"/>
        <v>9.8550724637681178E-2</v>
      </c>
      <c r="P13" s="66">
        <f t="shared" si="2"/>
        <v>1.3260000000000001</v>
      </c>
      <c r="Q13" s="23">
        <v>0.57899999999999996</v>
      </c>
      <c r="R13" s="61">
        <f t="shared" si="3"/>
        <v>7.5662713043478269E-2</v>
      </c>
      <c r="S13" s="66">
        <f t="shared" si="4"/>
        <v>9.8550724637681178E-2</v>
      </c>
      <c r="T13" s="66">
        <f t="shared" si="5"/>
        <v>1.3260000000000001</v>
      </c>
      <c r="U13" s="23">
        <v>0.51200000000000001</v>
      </c>
      <c r="V13" s="61">
        <f t="shared" si="6"/>
        <v>6.6907269565217406E-2</v>
      </c>
    </row>
    <row r="14" spans="2:22" ht="30" customHeight="1" x14ac:dyDescent="0.15">
      <c r="B14" s="64">
        <v>9</v>
      </c>
      <c r="C14" s="48" t="s">
        <v>72</v>
      </c>
      <c r="D14" s="55" t="s">
        <v>59</v>
      </c>
      <c r="E14" s="38" t="s">
        <v>143</v>
      </c>
      <c r="F14" s="27">
        <v>0.78</v>
      </c>
      <c r="G14" s="23">
        <f>2.468-1.7</f>
        <v>0.76800000000000002</v>
      </c>
      <c r="H14" s="23">
        <v>0</v>
      </c>
      <c r="I14" s="61">
        <f t="shared" si="0"/>
        <v>0.59904000000000002</v>
      </c>
      <c r="J14" s="44">
        <v>3.4277582000542148</v>
      </c>
      <c r="K14" s="66">
        <f t="shared" si="7"/>
        <v>0.59904000000000002</v>
      </c>
      <c r="L14" s="23">
        <v>1</v>
      </c>
      <c r="M14" s="61">
        <f t="shared" si="1"/>
        <v>2.053364272160477</v>
      </c>
      <c r="N14" s="25" t="s">
        <v>135</v>
      </c>
      <c r="O14" s="153">
        <f t="shared" si="8"/>
        <v>0.11654377880184331</v>
      </c>
      <c r="P14" s="66">
        <f t="shared" si="2"/>
        <v>0.59904000000000002</v>
      </c>
      <c r="Q14" s="23">
        <v>0.57899999999999996</v>
      </c>
      <c r="R14" s="61">
        <f t="shared" si="3"/>
        <v>4.0422529061751152E-2</v>
      </c>
      <c r="S14" s="66">
        <f t="shared" si="4"/>
        <v>0.11654377880184331</v>
      </c>
      <c r="T14" s="66">
        <f t="shared" si="5"/>
        <v>0.59904000000000002</v>
      </c>
      <c r="U14" s="23">
        <v>0.51200000000000001</v>
      </c>
      <c r="V14" s="61">
        <f t="shared" si="6"/>
        <v>3.5744965249769584E-2</v>
      </c>
    </row>
    <row r="15" spans="2:22" ht="30" customHeight="1" x14ac:dyDescent="0.15">
      <c r="B15" s="64">
        <v>10</v>
      </c>
      <c r="C15" s="48" t="s">
        <v>73</v>
      </c>
      <c r="D15" s="55" t="s">
        <v>59</v>
      </c>
      <c r="E15" s="38" t="s">
        <v>143</v>
      </c>
      <c r="F15" s="27">
        <v>1.9</v>
      </c>
      <c r="G15" s="23">
        <f>2.468</f>
        <v>2.468</v>
      </c>
      <c r="H15" s="23">
        <f>1.9*(1.7+0.3)</f>
        <v>3.8</v>
      </c>
      <c r="I15" s="61">
        <f t="shared" si="0"/>
        <v>0.88919999999999977</v>
      </c>
      <c r="J15" s="44">
        <v>3.4277582000542148</v>
      </c>
      <c r="K15" s="66">
        <f t="shared" si="7"/>
        <v>0.88919999999999977</v>
      </c>
      <c r="L15" s="23">
        <v>1</v>
      </c>
      <c r="M15" s="61">
        <f t="shared" si="1"/>
        <v>3.0479625914882069</v>
      </c>
      <c r="N15" s="25" t="s">
        <v>135</v>
      </c>
      <c r="O15" s="153">
        <f t="shared" si="8"/>
        <v>0.11654377880184331</v>
      </c>
      <c r="P15" s="66">
        <f t="shared" si="2"/>
        <v>0.88919999999999977</v>
      </c>
      <c r="Q15" s="23">
        <v>0.57899999999999996</v>
      </c>
      <c r="R15" s="61">
        <f t="shared" si="3"/>
        <v>6.0002191576036847E-2</v>
      </c>
      <c r="S15" s="66">
        <f t="shared" si="4"/>
        <v>0.11654377880184331</v>
      </c>
      <c r="T15" s="66">
        <f t="shared" si="5"/>
        <v>0.88919999999999977</v>
      </c>
      <c r="U15" s="23">
        <v>0.51200000000000001</v>
      </c>
      <c r="V15" s="61">
        <f t="shared" si="6"/>
        <v>5.3058932792626717E-2</v>
      </c>
    </row>
    <row r="16" spans="2:22" ht="30" customHeight="1" x14ac:dyDescent="0.15">
      <c r="B16" s="64">
        <v>11</v>
      </c>
      <c r="C16" s="48" t="s">
        <v>74</v>
      </c>
      <c r="D16" s="55" t="s">
        <v>64</v>
      </c>
      <c r="E16" s="38" t="s">
        <v>143</v>
      </c>
      <c r="F16" s="27">
        <f>2.955-1.9</f>
        <v>1.0550000000000002</v>
      </c>
      <c r="G16" s="23">
        <f>2.468</f>
        <v>2.468</v>
      </c>
      <c r="H16" s="23">
        <v>0</v>
      </c>
      <c r="I16" s="61">
        <f t="shared" si="0"/>
        <v>2.6037400000000002</v>
      </c>
      <c r="J16" s="44">
        <v>2.7263157070849378</v>
      </c>
      <c r="K16" s="66">
        <f t="shared" si="7"/>
        <v>2.6037400000000002</v>
      </c>
      <c r="L16" s="23">
        <v>0.15</v>
      </c>
      <c r="M16" s="61">
        <f t="shared" si="1"/>
        <v>1.0647925888748004</v>
      </c>
      <c r="N16" s="25" t="s">
        <v>135</v>
      </c>
      <c r="O16" s="153">
        <f t="shared" si="8"/>
        <v>9.2694734040887891E-2</v>
      </c>
      <c r="P16" s="66">
        <f t="shared" si="2"/>
        <v>2.6037400000000002</v>
      </c>
      <c r="Q16" s="23">
        <v>0.57899999999999996</v>
      </c>
      <c r="R16" s="61">
        <f t="shared" si="3"/>
        <v>0.1397433793639288</v>
      </c>
      <c r="S16" s="66">
        <f t="shared" si="4"/>
        <v>9.2694734040887891E-2</v>
      </c>
      <c r="T16" s="66">
        <f t="shared" si="5"/>
        <v>2.6037400000000002</v>
      </c>
      <c r="U16" s="23">
        <v>0.51200000000000001</v>
      </c>
      <c r="V16" s="61">
        <f t="shared" si="6"/>
        <v>0.12357272924755019</v>
      </c>
    </row>
    <row r="17" spans="2:22" ht="30" customHeight="1" x14ac:dyDescent="0.15">
      <c r="B17" s="64">
        <v>12</v>
      </c>
      <c r="C17" s="48" t="s">
        <v>75</v>
      </c>
      <c r="D17" s="55" t="s">
        <v>59</v>
      </c>
      <c r="E17" s="38" t="s">
        <v>143</v>
      </c>
      <c r="F17" s="27">
        <v>0.69599999999999995</v>
      </c>
      <c r="G17" s="23">
        <f>2.468</f>
        <v>2.468</v>
      </c>
      <c r="H17" s="23">
        <f>0.59*1.7</f>
        <v>1.0029999999999999</v>
      </c>
      <c r="I17" s="61">
        <f t="shared" si="0"/>
        <v>0.71472800000000003</v>
      </c>
      <c r="J17" s="44">
        <v>3.4277582000542148</v>
      </c>
      <c r="K17" s="66">
        <f t="shared" si="7"/>
        <v>0.71472800000000003</v>
      </c>
      <c r="L17" s="23">
        <v>1</v>
      </c>
      <c r="M17" s="61">
        <f t="shared" si="1"/>
        <v>2.4499147628083491</v>
      </c>
      <c r="N17" s="25" t="s">
        <v>136</v>
      </c>
      <c r="O17" s="153">
        <f t="shared" si="8"/>
        <v>0.11654377880184331</v>
      </c>
      <c r="P17" s="66">
        <f t="shared" si="2"/>
        <v>0.71472800000000003</v>
      </c>
      <c r="Q17" s="23">
        <v>0.93600000000000005</v>
      </c>
      <c r="R17" s="61">
        <f t="shared" si="3"/>
        <v>7.79660874116129E-2</v>
      </c>
      <c r="S17" s="66">
        <f t="shared" si="4"/>
        <v>0.11654377880184331</v>
      </c>
      <c r="T17" s="66">
        <f t="shared" si="5"/>
        <v>0.71472800000000003</v>
      </c>
      <c r="U17" s="23">
        <v>0.434</v>
      </c>
      <c r="V17" s="61">
        <f t="shared" si="6"/>
        <v>3.6150942239999997E-2</v>
      </c>
    </row>
    <row r="18" spans="2:22" ht="30" customHeight="1" x14ac:dyDescent="0.15">
      <c r="B18" s="64">
        <v>13</v>
      </c>
      <c r="C18" s="48" t="s">
        <v>75</v>
      </c>
      <c r="D18" s="55" t="s">
        <v>96</v>
      </c>
      <c r="E18" s="38" t="s">
        <v>143</v>
      </c>
      <c r="F18" s="27">
        <v>0.59</v>
      </c>
      <c r="G18" s="23">
        <v>1.7</v>
      </c>
      <c r="H18" s="23">
        <v>0</v>
      </c>
      <c r="I18" s="61">
        <f t="shared" si="0"/>
        <v>1.0029999999999999</v>
      </c>
      <c r="J18" s="44">
        <v>4.6500000000000004</v>
      </c>
      <c r="K18" s="66">
        <f t="shared" si="7"/>
        <v>1.0029999999999999</v>
      </c>
      <c r="L18" s="23">
        <v>1</v>
      </c>
      <c r="M18" s="61">
        <f t="shared" si="1"/>
        <v>4.6639499999999998</v>
      </c>
      <c r="N18" s="25" t="s">
        <v>136</v>
      </c>
      <c r="O18" s="153">
        <f t="shared" si="8"/>
        <v>0.15810000000000002</v>
      </c>
      <c r="P18" s="66">
        <f t="shared" si="2"/>
        <v>1.0029999999999999</v>
      </c>
      <c r="Q18" s="23">
        <v>0.93600000000000005</v>
      </c>
      <c r="R18" s="61">
        <f t="shared" si="3"/>
        <v>0.1484255448</v>
      </c>
      <c r="S18" s="66">
        <f t="shared" si="4"/>
        <v>0.15810000000000002</v>
      </c>
      <c r="T18" s="66">
        <f t="shared" si="5"/>
        <v>1.0029999999999999</v>
      </c>
      <c r="U18" s="23">
        <v>0.434</v>
      </c>
      <c r="V18" s="61">
        <f t="shared" si="6"/>
        <v>6.8821246200000005E-2</v>
      </c>
    </row>
    <row r="19" spans="2:22" ht="30" customHeight="1" x14ac:dyDescent="0.15">
      <c r="B19" s="64">
        <v>14</v>
      </c>
      <c r="C19" s="51" t="s">
        <v>129</v>
      </c>
      <c r="D19" s="56" t="s">
        <v>132</v>
      </c>
      <c r="E19" s="38" t="s">
        <v>143</v>
      </c>
      <c r="F19" s="27">
        <f>2.955+2.01</f>
        <v>4.9649999999999999</v>
      </c>
      <c r="G19" s="23">
        <v>0.45</v>
      </c>
      <c r="H19" s="23">
        <v>0</v>
      </c>
      <c r="I19" s="61">
        <f t="shared" si="0"/>
        <v>2.2342499999999998</v>
      </c>
      <c r="J19" s="44">
        <v>3.3898305084745766</v>
      </c>
      <c r="K19" s="66">
        <f t="shared" si="7"/>
        <v>2.2342499999999998</v>
      </c>
      <c r="L19" s="23">
        <v>0.7</v>
      </c>
      <c r="M19" s="61">
        <f t="shared" si="1"/>
        <v>5.301610169491525</v>
      </c>
      <c r="N19" s="25" t="s">
        <v>139</v>
      </c>
      <c r="O19" s="153">
        <f t="shared" si="8"/>
        <v>0.11525423728813561</v>
      </c>
      <c r="P19" s="66">
        <f t="shared" si="2"/>
        <v>2.2342499999999998</v>
      </c>
      <c r="Q19" s="23">
        <v>0</v>
      </c>
      <c r="R19" s="61">
        <f t="shared" si="3"/>
        <v>0</v>
      </c>
      <c r="S19" s="66">
        <f t="shared" si="4"/>
        <v>0.11525423728813561</v>
      </c>
      <c r="T19" s="66">
        <f t="shared" si="5"/>
        <v>2.2342499999999998</v>
      </c>
      <c r="U19" s="23">
        <v>0</v>
      </c>
      <c r="V19" s="61">
        <f t="shared" si="6"/>
        <v>0</v>
      </c>
    </row>
    <row r="20" spans="2:22" ht="30" customHeight="1" x14ac:dyDescent="0.15">
      <c r="B20" s="64">
        <v>15</v>
      </c>
      <c r="C20" s="51" t="s">
        <v>130</v>
      </c>
      <c r="D20" s="56" t="s">
        <v>131</v>
      </c>
      <c r="E20" s="38" t="s">
        <v>143</v>
      </c>
      <c r="F20" s="27">
        <f>3.9</f>
        <v>3.9</v>
      </c>
      <c r="G20" s="23">
        <v>0.45</v>
      </c>
      <c r="H20" s="23">
        <v>0</v>
      </c>
      <c r="I20" s="61">
        <f t="shared" si="0"/>
        <v>1.7549999999999999</v>
      </c>
      <c r="J20" s="44">
        <v>2.7263157070849378</v>
      </c>
      <c r="K20" s="66">
        <f t="shared" si="7"/>
        <v>1.7549999999999999</v>
      </c>
      <c r="L20" s="23">
        <v>0.7</v>
      </c>
      <c r="M20" s="61">
        <f t="shared" si="1"/>
        <v>3.3492788461538456</v>
      </c>
      <c r="N20" s="25" t="s">
        <v>139</v>
      </c>
      <c r="O20" s="153">
        <f t="shared" si="8"/>
        <v>9.2694734040887891E-2</v>
      </c>
      <c r="P20" s="66">
        <f t="shared" si="2"/>
        <v>1.7549999999999999</v>
      </c>
      <c r="Q20" s="23">
        <v>0</v>
      </c>
      <c r="R20" s="61">
        <f t="shared" si="3"/>
        <v>0</v>
      </c>
      <c r="S20" s="66">
        <f t="shared" si="4"/>
        <v>9.2694734040887891E-2</v>
      </c>
      <c r="T20" s="66">
        <f t="shared" si="5"/>
        <v>1.7549999999999999</v>
      </c>
      <c r="U20" s="23">
        <v>0</v>
      </c>
      <c r="V20" s="61">
        <f t="shared" si="6"/>
        <v>0</v>
      </c>
    </row>
    <row r="21" spans="2:22" ht="30" customHeight="1" x14ac:dyDescent="0.15">
      <c r="B21" s="64">
        <v>16</v>
      </c>
      <c r="C21" s="48" t="s">
        <v>76</v>
      </c>
      <c r="D21" s="55" t="s">
        <v>59</v>
      </c>
      <c r="E21" s="38" t="s">
        <v>143</v>
      </c>
      <c r="F21" s="27">
        <v>1.47</v>
      </c>
      <c r="G21" s="23">
        <v>2.9180000000000001</v>
      </c>
      <c r="H21" s="23">
        <f>1.365*1.7</f>
        <v>2.3205</v>
      </c>
      <c r="I21" s="61">
        <f t="shared" si="0"/>
        <v>1.96896</v>
      </c>
      <c r="J21" s="44">
        <v>3.4277582000542148</v>
      </c>
      <c r="K21" s="66">
        <f t="shared" si="7"/>
        <v>1.96896</v>
      </c>
      <c r="L21" s="23">
        <v>1</v>
      </c>
      <c r="M21" s="61">
        <f t="shared" si="1"/>
        <v>6.7491187855787471</v>
      </c>
      <c r="N21" s="25" t="s">
        <v>135</v>
      </c>
      <c r="O21" s="153">
        <f t="shared" si="8"/>
        <v>0.11654377880184331</v>
      </c>
      <c r="P21" s="66">
        <f t="shared" si="2"/>
        <v>1.96896</v>
      </c>
      <c r="Q21" s="23">
        <v>0.57899999999999996</v>
      </c>
      <c r="R21" s="61">
        <f t="shared" si="3"/>
        <v>0.13286315241290322</v>
      </c>
      <c r="S21" s="66">
        <f t="shared" si="4"/>
        <v>0.11654377880184331</v>
      </c>
      <c r="T21" s="66">
        <f t="shared" si="5"/>
        <v>1.96896</v>
      </c>
      <c r="U21" s="23">
        <v>0.51200000000000001</v>
      </c>
      <c r="V21" s="61">
        <f t="shared" si="6"/>
        <v>0.11748865981935484</v>
      </c>
    </row>
    <row r="22" spans="2:22" ht="30" customHeight="1" x14ac:dyDescent="0.15">
      <c r="B22" s="64">
        <v>17</v>
      </c>
      <c r="C22" s="48" t="s">
        <v>77</v>
      </c>
      <c r="D22" s="55" t="s">
        <v>59</v>
      </c>
      <c r="E22" s="38" t="s">
        <v>143</v>
      </c>
      <c r="F22" s="27">
        <f>2.955+2.01+3.9</f>
        <v>8.8650000000000002</v>
      </c>
      <c r="G22" s="23">
        <v>2.9180000000000001</v>
      </c>
      <c r="H22" s="23">
        <v>0</v>
      </c>
      <c r="I22" s="61">
        <f t="shared" si="0"/>
        <v>25.868070000000003</v>
      </c>
      <c r="J22" s="44">
        <v>3.4277582000542148</v>
      </c>
      <c r="K22" s="66">
        <f t="shared" si="7"/>
        <v>25.868070000000003</v>
      </c>
      <c r="L22" s="23">
        <v>1</v>
      </c>
      <c r="M22" s="61">
        <f t="shared" si="1"/>
        <v>88.669489062076437</v>
      </c>
      <c r="N22" s="25" t="s">
        <v>136</v>
      </c>
      <c r="O22" s="153">
        <f t="shared" si="8"/>
        <v>0.11654377880184331</v>
      </c>
      <c r="P22" s="66">
        <f t="shared" si="2"/>
        <v>25.868070000000003</v>
      </c>
      <c r="Q22" s="23">
        <v>0.93600000000000005</v>
      </c>
      <c r="R22" s="61">
        <f t="shared" si="3"/>
        <v>2.8218178199115211</v>
      </c>
      <c r="S22" s="66">
        <f t="shared" si="4"/>
        <v>0.11654377880184331</v>
      </c>
      <c r="T22" s="66">
        <f t="shared" si="5"/>
        <v>25.868070000000003</v>
      </c>
      <c r="U22" s="23">
        <v>0.434</v>
      </c>
      <c r="V22" s="61">
        <f t="shared" si="6"/>
        <v>1.3084069806</v>
      </c>
    </row>
    <row r="23" spans="2:22" ht="30" customHeight="1" x14ac:dyDescent="0.15">
      <c r="B23" s="64">
        <v>18</v>
      </c>
      <c r="C23" s="48" t="s">
        <v>78</v>
      </c>
      <c r="D23" s="55" t="s">
        <v>79</v>
      </c>
      <c r="E23" s="38" t="s">
        <v>143</v>
      </c>
      <c r="F23" s="27">
        <v>1.47</v>
      </c>
      <c r="G23" s="23">
        <v>0.95</v>
      </c>
      <c r="H23" s="23">
        <f>0.95*0.95</f>
        <v>0.90249999999999997</v>
      </c>
      <c r="I23" s="61">
        <f t="shared" si="0"/>
        <v>0.49399999999999988</v>
      </c>
      <c r="J23" s="44">
        <v>3.3446054031532038</v>
      </c>
      <c r="K23" s="66">
        <f t="shared" si="7"/>
        <v>0.49399999999999988</v>
      </c>
      <c r="L23" s="23">
        <v>1</v>
      </c>
      <c r="M23" s="61">
        <f t="shared" si="1"/>
        <v>1.6522350691576824</v>
      </c>
      <c r="N23" s="25" t="s">
        <v>133</v>
      </c>
      <c r="O23" s="153">
        <f t="shared" si="8"/>
        <v>0.11371658370720894</v>
      </c>
      <c r="P23" s="66">
        <f t="shared" si="2"/>
        <v>0.49399999999999988</v>
      </c>
      <c r="Q23" s="23">
        <v>0.52300000000000002</v>
      </c>
      <c r="R23" s="61">
        <f t="shared" si="3"/>
        <v>2.938004399976191E-2</v>
      </c>
      <c r="S23" s="66">
        <f t="shared" si="4"/>
        <v>0.11371658370720894</v>
      </c>
      <c r="T23" s="66">
        <f t="shared" si="5"/>
        <v>0.49399999999999988</v>
      </c>
      <c r="U23" s="23">
        <v>0.504</v>
      </c>
      <c r="V23" s="61">
        <f t="shared" si="6"/>
        <v>2.8312700145086047E-2</v>
      </c>
    </row>
    <row r="24" spans="2:22" ht="30" customHeight="1" x14ac:dyDescent="0.15">
      <c r="B24" s="64">
        <v>19</v>
      </c>
      <c r="C24" s="48" t="s">
        <v>78</v>
      </c>
      <c r="D24" s="55" t="s">
        <v>59</v>
      </c>
      <c r="E24" s="38" t="s">
        <v>143</v>
      </c>
      <c r="F24" s="27">
        <v>1.47</v>
      </c>
      <c r="G24" s="23">
        <f>2.918-0.95</f>
        <v>1.9680000000000002</v>
      </c>
      <c r="H24" s="23">
        <f>0.95*(1.7-0.95)</f>
        <v>0.71249999999999991</v>
      </c>
      <c r="I24" s="61">
        <f t="shared" si="0"/>
        <v>2.1804600000000005</v>
      </c>
      <c r="J24" s="44">
        <v>3.4277582000542148</v>
      </c>
      <c r="K24" s="66">
        <f t="shared" si="7"/>
        <v>2.1804600000000005</v>
      </c>
      <c r="L24" s="23">
        <v>1</v>
      </c>
      <c r="M24" s="61">
        <f t="shared" si="1"/>
        <v>7.4740896448902152</v>
      </c>
      <c r="N24" s="25" t="s">
        <v>133</v>
      </c>
      <c r="O24" s="153">
        <f t="shared" si="8"/>
        <v>0.11654377880184331</v>
      </c>
      <c r="P24" s="66">
        <f t="shared" si="2"/>
        <v>2.1804600000000005</v>
      </c>
      <c r="Q24" s="23">
        <v>0.52300000000000002</v>
      </c>
      <c r="R24" s="61">
        <f t="shared" si="3"/>
        <v>0.13290426206543782</v>
      </c>
      <c r="S24" s="66">
        <f t="shared" si="4"/>
        <v>0.11654377880184331</v>
      </c>
      <c r="T24" s="66">
        <f t="shared" si="5"/>
        <v>2.1804600000000005</v>
      </c>
      <c r="U24" s="23">
        <v>0.504</v>
      </c>
      <c r="V24" s="61">
        <f t="shared" si="6"/>
        <v>0.12807600015483872</v>
      </c>
    </row>
    <row r="25" spans="2:22" ht="30" customHeight="1" x14ac:dyDescent="0.15">
      <c r="B25" s="64">
        <v>20</v>
      </c>
      <c r="C25" s="48" t="s">
        <v>82</v>
      </c>
      <c r="D25" s="55" t="s">
        <v>59</v>
      </c>
      <c r="E25" s="38" t="s">
        <v>143</v>
      </c>
      <c r="F25" s="27">
        <v>2.9550000000000001</v>
      </c>
      <c r="G25" s="23">
        <v>2.1819999999999999</v>
      </c>
      <c r="H25" s="23">
        <f>2.85*1.3</f>
        <v>3.7050000000000001</v>
      </c>
      <c r="I25" s="61">
        <f t="shared" si="0"/>
        <v>2.7428099999999995</v>
      </c>
      <c r="J25" s="44">
        <v>3.4277582000542148</v>
      </c>
      <c r="K25" s="66">
        <f t="shared" si="7"/>
        <v>2.7428099999999995</v>
      </c>
      <c r="L25" s="23">
        <v>1</v>
      </c>
      <c r="M25" s="61">
        <f t="shared" si="1"/>
        <v>9.4016894686906998</v>
      </c>
      <c r="N25" s="25" t="s">
        <v>133</v>
      </c>
      <c r="O25" s="153">
        <f t="shared" si="8"/>
        <v>0.11654377880184331</v>
      </c>
      <c r="P25" s="66">
        <f t="shared" si="2"/>
        <v>2.7428099999999995</v>
      </c>
      <c r="Q25" s="23">
        <v>0.52300000000000002</v>
      </c>
      <c r="R25" s="61">
        <f t="shared" si="3"/>
        <v>0.16718084213225803</v>
      </c>
      <c r="S25" s="66">
        <f t="shared" si="4"/>
        <v>0.11654377880184331</v>
      </c>
      <c r="T25" s="66">
        <f t="shared" si="5"/>
        <v>2.7428099999999995</v>
      </c>
      <c r="U25" s="23">
        <v>0.504</v>
      </c>
      <c r="V25" s="61">
        <f t="shared" si="6"/>
        <v>0.16110735073548382</v>
      </c>
    </row>
    <row r="26" spans="2:22" ht="30" customHeight="1" x14ac:dyDescent="0.15">
      <c r="B26" s="64">
        <v>21</v>
      </c>
      <c r="C26" s="48" t="s">
        <v>83</v>
      </c>
      <c r="D26" s="55" t="s">
        <v>59</v>
      </c>
      <c r="E26" s="38" t="s">
        <v>143</v>
      </c>
      <c r="F26" s="27">
        <v>0.78</v>
      </c>
      <c r="G26" s="23">
        <f>2.182-1.3</f>
        <v>0.8819999999999999</v>
      </c>
      <c r="H26" s="23">
        <v>0</v>
      </c>
      <c r="I26" s="61">
        <f t="shared" si="0"/>
        <v>0.6879599999999999</v>
      </c>
      <c r="J26" s="44">
        <v>3.4277582000542148</v>
      </c>
      <c r="K26" s="66">
        <f t="shared" si="7"/>
        <v>0.6879599999999999</v>
      </c>
      <c r="L26" s="23">
        <v>1</v>
      </c>
      <c r="M26" s="61">
        <f t="shared" si="1"/>
        <v>2.3581605313092973</v>
      </c>
      <c r="N26" s="25" t="s">
        <v>133</v>
      </c>
      <c r="O26" s="153">
        <f t="shared" si="8"/>
        <v>0.11654377880184331</v>
      </c>
      <c r="P26" s="66">
        <f t="shared" si="2"/>
        <v>0.6879599999999999</v>
      </c>
      <c r="Q26" s="23">
        <v>0.52300000000000002</v>
      </c>
      <c r="R26" s="61">
        <f t="shared" si="3"/>
        <v>4.1932810567741931E-2</v>
      </c>
      <c r="S26" s="66">
        <f t="shared" si="4"/>
        <v>0.11654377880184331</v>
      </c>
      <c r="T26" s="66">
        <f t="shared" si="5"/>
        <v>0.6879599999999999</v>
      </c>
      <c r="U26" s="23">
        <v>0.504</v>
      </c>
      <c r="V26" s="61">
        <f t="shared" si="6"/>
        <v>4.0409438864516124E-2</v>
      </c>
    </row>
    <row r="27" spans="2:22" ht="30" customHeight="1" x14ac:dyDescent="0.15">
      <c r="B27" s="64">
        <v>22</v>
      </c>
      <c r="C27" s="48" t="s">
        <v>83</v>
      </c>
      <c r="D27" s="55" t="s">
        <v>60</v>
      </c>
      <c r="E27" s="38" t="s">
        <v>143</v>
      </c>
      <c r="F27" s="27">
        <v>0.78</v>
      </c>
      <c r="G27" s="23">
        <v>1.3</v>
      </c>
      <c r="H27" s="23">
        <v>0</v>
      </c>
      <c r="I27" s="61">
        <f t="shared" si="0"/>
        <v>1.014</v>
      </c>
      <c r="J27" s="44">
        <v>2.8985507246376816</v>
      </c>
      <c r="K27" s="66">
        <f t="shared" si="7"/>
        <v>1.014</v>
      </c>
      <c r="L27" s="23">
        <v>1</v>
      </c>
      <c r="M27" s="61">
        <f t="shared" si="1"/>
        <v>2.939130434782609</v>
      </c>
      <c r="N27" s="25" t="s">
        <v>133</v>
      </c>
      <c r="O27" s="153">
        <f t="shared" si="8"/>
        <v>9.8550724637681178E-2</v>
      </c>
      <c r="P27" s="66">
        <f t="shared" si="2"/>
        <v>1.014</v>
      </c>
      <c r="Q27" s="23">
        <v>0.52300000000000002</v>
      </c>
      <c r="R27" s="61">
        <f t="shared" si="3"/>
        <v>5.2263617391304355E-2</v>
      </c>
      <c r="S27" s="66">
        <f t="shared" si="4"/>
        <v>9.8550724637681178E-2</v>
      </c>
      <c r="T27" s="66">
        <f t="shared" si="5"/>
        <v>1.014</v>
      </c>
      <c r="U27" s="23">
        <v>0.504</v>
      </c>
      <c r="V27" s="61">
        <f t="shared" si="6"/>
        <v>5.0364939130434792E-2</v>
      </c>
    </row>
    <row r="28" spans="2:22" ht="30" customHeight="1" x14ac:dyDescent="0.15">
      <c r="B28" s="64">
        <v>23</v>
      </c>
      <c r="C28" s="48" t="s">
        <v>84</v>
      </c>
      <c r="D28" s="55" t="s">
        <v>66</v>
      </c>
      <c r="E28" s="38" t="s">
        <v>143</v>
      </c>
      <c r="F28" s="27">
        <v>2.9550000000000001</v>
      </c>
      <c r="G28" s="23">
        <v>2.1819999999999999</v>
      </c>
      <c r="H28" s="23">
        <v>0</v>
      </c>
      <c r="I28" s="61">
        <f t="shared" ref="I28:I44" si="9">F28*G28-H28</f>
        <v>6.4478099999999996</v>
      </c>
      <c r="J28" s="44">
        <v>2.7263157070849378</v>
      </c>
      <c r="K28" s="66">
        <f t="shared" si="7"/>
        <v>6.4478099999999996</v>
      </c>
      <c r="L28" s="23">
        <v>1</v>
      </c>
      <c r="M28" s="61">
        <f t="shared" si="1"/>
        <v>17.57876567929933</v>
      </c>
      <c r="N28" s="25" t="s">
        <v>134</v>
      </c>
      <c r="O28" s="153">
        <f t="shared" si="8"/>
        <v>9.2694734040887891E-2</v>
      </c>
      <c r="P28" s="66">
        <f t="shared" si="2"/>
        <v>6.4478099999999996</v>
      </c>
      <c r="Q28" s="23">
        <v>0.26100000000000001</v>
      </c>
      <c r="R28" s="61">
        <f t="shared" si="3"/>
        <v>0.15599396663810228</v>
      </c>
      <c r="S28" s="66">
        <f t="shared" si="4"/>
        <v>9.2694734040887891E-2</v>
      </c>
      <c r="T28" s="66">
        <f t="shared" si="5"/>
        <v>6.4478099999999996</v>
      </c>
      <c r="U28" s="23">
        <v>0.34100000000000003</v>
      </c>
      <c r="V28" s="61">
        <f t="shared" si="6"/>
        <v>0.20380820928579646</v>
      </c>
    </row>
    <row r="29" spans="2:22" ht="30" customHeight="1" x14ac:dyDescent="0.15">
      <c r="B29" s="64">
        <v>24</v>
      </c>
      <c r="C29" s="48" t="s">
        <v>85</v>
      </c>
      <c r="D29" s="55" t="s">
        <v>66</v>
      </c>
      <c r="E29" s="38" t="s">
        <v>143</v>
      </c>
      <c r="F29" s="27">
        <v>2.0099999999999998</v>
      </c>
      <c r="G29" s="23">
        <v>2.1819999999999999</v>
      </c>
      <c r="H29" s="23">
        <v>0</v>
      </c>
      <c r="I29" s="61">
        <f t="shared" si="9"/>
        <v>4.3858199999999998</v>
      </c>
      <c r="J29" s="44">
        <v>2.7263157070849378</v>
      </c>
      <c r="K29" s="66">
        <f t="shared" si="7"/>
        <v>4.3858199999999998</v>
      </c>
      <c r="L29" s="23">
        <v>1</v>
      </c>
      <c r="M29" s="61">
        <f t="shared" si="1"/>
        <v>11.957129954447261</v>
      </c>
      <c r="N29" s="25" t="s">
        <v>134</v>
      </c>
      <c r="O29" s="153">
        <f t="shared" si="8"/>
        <v>9.2694734040887891E-2</v>
      </c>
      <c r="P29" s="66">
        <f t="shared" si="2"/>
        <v>4.3858199999999998</v>
      </c>
      <c r="Q29" s="23">
        <v>0.26100000000000001</v>
      </c>
      <c r="R29" s="61">
        <f t="shared" si="3"/>
        <v>0.10610757121576501</v>
      </c>
      <c r="S29" s="66">
        <f t="shared" si="4"/>
        <v>9.2694734040887891E-2</v>
      </c>
      <c r="T29" s="66">
        <f t="shared" si="5"/>
        <v>4.3858199999999998</v>
      </c>
      <c r="U29" s="23">
        <v>0.34100000000000003</v>
      </c>
      <c r="V29" s="61">
        <f t="shared" si="6"/>
        <v>0.13863096469186156</v>
      </c>
    </row>
    <row r="30" spans="2:22" ht="30" customHeight="1" x14ac:dyDescent="0.15">
      <c r="B30" s="64">
        <v>25</v>
      </c>
      <c r="C30" s="48" t="s">
        <v>86</v>
      </c>
      <c r="D30" s="55" t="s">
        <v>66</v>
      </c>
      <c r="E30" s="38" t="s">
        <v>143</v>
      </c>
      <c r="F30" s="27">
        <v>3.9</v>
      </c>
      <c r="G30" s="23">
        <v>2.1819999999999999</v>
      </c>
      <c r="H30" s="23">
        <v>0</v>
      </c>
      <c r="I30" s="61">
        <f t="shared" si="9"/>
        <v>8.5098000000000003</v>
      </c>
      <c r="J30" s="44">
        <v>2.7263157070849378</v>
      </c>
      <c r="K30" s="66">
        <f t="shared" si="7"/>
        <v>8.5098000000000003</v>
      </c>
      <c r="L30" s="23">
        <v>1</v>
      </c>
      <c r="M30" s="61">
        <f t="shared" si="1"/>
        <v>23.200401404151403</v>
      </c>
      <c r="N30" s="25" t="s">
        <v>134</v>
      </c>
      <c r="O30" s="153">
        <f t="shared" si="8"/>
        <v>9.2694734040887891E-2</v>
      </c>
      <c r="P30" s="66">
        <f t="shared" si="2"/>
        <v>8.5098000000000003</v>
      </c>
      <c r="Q30" s="23">
        <v>0.26100000000000001</v>
      </c>
      <c r="R30" s="61">
        <f t="shared" si="3"/>
        <v>0.20588036206043958</v>
      </c>
      <c r="S30" s="66">
        <f t="shared" si="4"/>
        <v>9.2694734040887891E-2</v>
      </c>
      <c r="T30" s="66">
        <f t="shared" si="5"/>
        <v>8.5098000000000003</v>
      </c>
      <c r="U30" s="23">
        <v>0.34100000000000003</v>
      </c>
      <c r="V30" s="61">
        <f t="shared" si="6"/>
        <v>0.26898545387973144</v>
      </c>
    </row>
    <row r="31" spans="2:22" ht="30" customHeight="1" x14ac:dyDescent="0.15">
      <c r="B31" s="64">
        <v>26</v>
      </c>
      <c r="C31" s="48" t="s">
        <v>87</v>
      </c>
      <c r="D31" s="55" t="s">
        <v>66</v>
      </c>
      <c r="E31" s="38" t="s">
        <v>143</v>
      </c>
      <c r="F31" s="27">
        <v>0.69599999999999995</v>
      </c>
      <c r="G31" s="23">
        <v>2.1819999999999999</v>
      </c>
      <c r="H31" s="23">
        <v>0</v>
      </c>
      <c r="I31" s="61">
        <f t="shared" si="9"/>
        <v>1.5186719999999998</v>
      </c>
      <c r="J31" s="44">
        <v>2.7263157070849378</v>
      </c>
      <c r="K31" s="66">
        <f t="shared" si="7"/>
        <v>1.5186719999999998</v>
      </c>
      <c r="L31" s="23">
        <v>1</v>
      </c>
      <c r="M31" s="61">
        <f t="shared" si="1"/>
        <v>4.1403793275100957</v>
      </c>
      <c r="N31" s="25" t="s">
        <v>134</v>
      </c>
      <c r="O31" s="153">
        <f t="shared" si="8"/>
        <v>9.2694734040887891E-2</v>
      </c>
      <c r="P31" s="66">
        <f t="shared" si="2"/>
        <v>1.5186719999999998</v>
      </c>
      <c r="Q31" s="23">
        <v>0.26100000000000001</v>
      </c>
      <c r="R31" s="61">
        <f t="shared" si="3"/>
        <v>3.6741726152324593E-2</v>
      </c>
      <c r="S31" s="66">
        <f t="shared" si="4"/>
        <v>9.2694734040887891E-2</v>
      </c>
      <c r="T31" s="66">
        <f t="shared" si="5"/>
        <v>1.5186719999999998</v>
      </c>
      <c r="U31" s="23">
        <v>0.34100000000000003</v>
      </c>
      <c r="V31" s="61">
        <f t="shared" si="6"/>
        <v>4.8003557923152057E-2</v>
      </c>
    </row>
    <row r="32" spans="2:22" ht="30" customHeight="1" x14ac:dyDescent="0.15">
      <c r="B32" s="64">
        <v>27</v>
      </c>
      <c r="C32" s="48" t="s">
        <v>89</v>
      </c>
      <c r="D32" s="55" t="s">
        <v>59</v>
      </c>
      <c r="E32" s="38" t="s">
        <v>143</v>
      </c>
      <c r="F32" s="27">
        <v>0.78</v>
      </c>
      <c r="G32" s="23">
        <f>2.182-1.3</f>
        <v>0.8819999999999999</v>
      </c>
      <c r="H32" s="23">
        <v>0</v>
      </c>
      <c r="I32" s="61">
        <f t="shared" si="9"/>
        <v>0.6879599999999999</v>
      </c>
      <c r="J32" s="44">
        <v>3.4277582000542148</v>
      </c>
      <c r="K32" s="66">
        <f t="shared" si="7"/>
        <v>0.6879599999999999</v>
      </c>
      <c r="L32" s="23">
        <v>1</v>
      </c>
      <c r="M32" s="61">
        <f t="shared" si="1"/>
        <v>2.3581605313092973</v>
      </c>
      <c r="N32" s="25" t="s">
        <v>135</v>
      </c>
      <c r="O32" s="153">
        <f t="shared" si="8"/>
        <v>0.11654377880184331</v>
      </c>
      <c r="P32" s="66">
        <f t="shared" si="2"/>
        <v>0.6879599999999999</v>
      </c>
      <c r="Q32" s="23">
        <v>0.57899999999999996</v>
      </c>
      <c r="R32" s="61">
        <f t="shared" si="3"/>
        <v>4.6422748219354833E-2</v>
      </c>
      <c r="S32" s="66">
        <f t="shared" si="4"/>
        <v>0.11654377880184331</v>
      </c>
      <c r="T32" s="66">
        <f t="shared" si="5"/>
        <v>0.6879599999999999</v>
      </c>
      <c r="U32" s="23">
        <v>0.51200000000000001</v>
      </c>
      <c r="V32" s="61">
        <f t="shared" si="6"/>
        <v>4.1050858529032258E-2</v>
      </c>
    </row>
    <row r="33" spans="2:22" ht="30" customHeight="1" x14ac:dyDescent="0.15">
      <c r="B33" s="64">
        <v>28</v>
      </c>
      <c r="C33" s="48" t="s">
        <v>89</v>
      </c>
      <c r="D33" s="55" t="s">
        <v>60</v>
      </c>
      <c r="E33" s="38" t="s">
        <v>143</v>
      </c>
      <c r="F33" s="27">
        <v>0.78</v>
      </c>
      <c r="G33" s="23">
        <v>1.3</v>
      </c>
      <c r="H33" s="23">
        <v>0</v>
      </c>
      <c r="I33" s="61">
        <f t="shared" si="9"/>
        <v>1.014</v>
      </c>
      <c r="J33" s="44">
        <v>2.8985507246376816</v>
      </c>
      <c r="K33" s="66">
        <f t="shared" si="7"/>
        <v>1.014</v>
      </c>
      <c r="L33" s="23">
        <v>1</v>
      </c>
      <c r="M33" s="61">
        <f t="shared" si="1"/>
        <v>2.939130434782609</v>
      </c>
      <c r="N33" s="25" t="s">
        <v>135</v>
      </c>
      <c r="O33" s="153">
        <f t="shared" si="8"/>
        <v>9.8550724637681178E-2</v>
      </c>
      <c r="P33" s="66">
        <f t="shared" si="2"/>
        <v>1.014</v>
      </c>
      <c r="Q33" s="23">
        <v>0.57899999999999996</v>
      </c>
      <c r="R33" s="61">
        <f t="shared" si="3"/>
        <v>5.785972173913044E-2</v>
      </c>
      <c r="S33" s="66">
        <f t="shared" si="4"/>
        <v>9.8550724637681178E-2</v>
      </c>
      <c r="T33" s="66">
        <f t="shared" si="5"/>
        <v>1.014</v>
      </c>
      <c r="U33" s="23">
        <v>0.51200000000000001</v>
      </c>
      <c r="V33" s="61">
        <f t="shared" si="6"/>
        <v>5.1164382608695665E-2</v>
      </c>
    </row>
    <row r="34" spans="2:22" ht="30" customHeight="1" x14ac:dyDescent="0.15">
      <c r="B34" s="64">
        <v>29</v>
      </c>
      <c r="C34" s="48" t="s">
        <v>90</v>
      </c>
      <c r="D34" s="55" t="s">
        <v>59</v>
      </c>
      <c r="E34" s="38" t="s">
        <v>143</v>
      </c>
      <c r="F34" s="27">
        <v>2.9550000000000001</v>
      </c>
      <c r="G34" s="23">
        <v>2.1819999999999999</v>
      </c>
      <c r="H34" s="23">
        <f>2.85*1.6</f>
        <v>4.5600000000000005</v>
      </c>
      <c r="I34" s="61">
        <f t="shared" si="9"/>
        <v>1.8878099999999991</v>
      </c>
      <c r="J34" s="44">
        <v>3.4277582000542148</v>
      </c>
      <c r="K34" s="66">
        <f t="shared" si="7"/>
        <v>1.8878099999999991</v>
      </c>
      <c r="L34" s="23">
        <v>1</v>
      </c>
      <c r="M34" s="61">
        <f t="shared" si="1"/>
        <v>6.4709562076443445</v>
      </c>
      <c r="N34" s="25" t="s">
        <v>135</v>
      </c>
      <c r="O34" s="153">
        <f t="shared" si="8"/>
        <v>0.11654377880184331</v>
      </c>
      <c r="P34" s="66">
        <f t="shared" si="2"/>
        <v>1.8878099999999991</v>
      </c>
      <c r="Q34" s="23">
        <v>0.57899999999999996</v>
      </c>
      <c r="R34" s="61">
        <f t="shared" si="3"/>
        <v>0.12738724390368655</v>
      </c>
      <c r="S34" s="66">
        <f t="shared" si="4"/>
        <v>0.11654377880184331</v>
      </c>
      <c r="T34" s="66">
        <f t="shared" si="5"/>
        <v>1.8878099999999991</v>
      </c>
      <c r="U34" s="23">
        <v>0.51200000000000001</v>
      </c>
      <c r="V34" s="61">
        <f t="shared" si="6"/>
        <v>0.11264640566267276</v>
      </c>
    </row>
    <row r="35" spans="2:22" ht="30" customHeight="1" x14ac:dyDescent="0.15">
      <c r="B35" s="64">
        <v>30</v>
      </c>
      <c r="C35" s="48" t="s">
        <v>91</v>
      </c>
      <c r="D35" s="55" t="s">
        <v>59</v>
      </c>
      <c r="E35" s="38" t="s">
        <v>143</v>
      </c>
      <c r="F35" s="27">
        <v>0.69599999999999995</v>
      </c>
      <c r="G35" s="23">
        <v>2.1819999999999999</v>
      </c>
      <c r="H35" s="23">
        <v>0</v>
      </c>
      <c r="I35" s="61">
        <f t="shared" si="9"/>
        <v>1.5186719999999998</v>
      </c>
      <c r="J35" s="44">
        <v>3.4277582000542148</v>
      </c>
      <c r="K35" s="66">
        <f t="shared" si="7"/>
        <v>1.5186719999999998</v>
      </c>
      <c r="L35" s="23">
        <v>1</v>
      </c>
      <c r="M35" s="61">
        <f t="shared" si="1"/>
        <v>5.205640401192734</v>
      </c>
      <c r="N35" s="25" t="s">
        <v>136</v>
      </c>
      <c r="O35" s="153">
        <f t="shared" si="8"/>
        <v>0.11654377880184331</v>
      </c>
      <c r="P35" s="66">
        <f t="shared" si="2"/>
        <v>1.5186719999999998</v>
      </c>
      <c r="Q35" s="23">
        <v>0.93600000000000005</v>
      </c>
      <c r="R35" s="61">
        <f t="shared" si="3"/>
        <v>0.16566430012755759</v>
      </c>
      <c r="S35" s="66">
        <f t="shared" si="4"/>
        <v>0.11654377880184331</v>
      </c>
      <c r="T35" s="66">
        <f t="shared" si="5"/>
        <v>1.5186719999999998</v>
      </c>
      <c r="U35" s="23">
        <v>0.434</v>
      </c>
      <c r="V35" s="61">
        <f t="shared" si="6"/>
        <v>7.6814429759999983E-2</v>
      </c>
    </row>
    <row r="36" spans="2:22" ht="30" customHeight="1" x14ac:dyDescent="0.15">
      <c r="B36" s="64">
        <v>31</v>
      </c>
      <c r="C36" s="48" t="s">
        <v>92</v>
      </c>
      <c r="D36" s="55" t="s">
        <v>59</v>
      </c>
      <c r="E36" s="38" t="s">
        <v>143</v>
      </c>
      <c r="F36" s="27">
        <v>1.47</v>
      </c>
      <c r="G36" s="23">
        <v>2.1819999999999999</v>
      </c>
      <c r="H36" s="23">
        <f>1.365*1.3</f>
        <v>1.7745</v>
      </c>
      <c r="I36" s="61">
        <f t="shared" si="9"/>
        <v>1.4330399999999999</v>
      </c>
      <c r="J36" s="44">
        <v>3.4277582000542148</v>
      </c>
      <c r="K36" s="66">
        <f t="shared" si="7"/>
        <v>1.4330399999999999</v>
      </c>
      <c r="L36" s="23">
        <v>1</v>
      </c>
      <c r="M36" s="61">
        <f t="shared" si="1"/>
        <v>4.9121146110056912</v>
      </c>
      <c r="N36" s="25" t="s">
        <v>135</v>
      </c>
      <c r="O36" s="153">
        <f t="shared" si="8"/>
        <v>0.11654377880184331</v>
      </c>
      <c r="P36" s="66">
        <f t="shared" si="2"/>
        <v>1.4330399999999999</v>
      </c>
      <c r="Q36" s="23">
        <v>0.57899999999999996</v>
      </c>
      <c r="R36" s="61">
        <f t="shared" si="3"/>
        <v>9.6699888232258044E-2</v>
      </c>
      <c r="S36" s="66">
        <f t="shared" si="4"/>
        <v>0.11654377880184331</v>
      </c>
      <c r="T36" s="66">
        <f t="shared" si="5"/>
        <v>1.4330399999999999</v>
      </c>
      <c r="U36" s="23">
        <v>0.51200000000000001</v>
      </c>
      <c r="V36" s="61">
        <f t="shared" si="6"/>
        <v>8.5510091148387091E-2</v>
      </c>
    </row>
    <row r="37" spans="2:22" ht="30" customHeight="1" x14ac:dyDescent="0.15">
      <c r="B37" s="64">
        <v>32</v>
      </c>
      <c r="C37" s="48" t="s">
        <v>93</v>
      </c>
      <c r="D37" s="55" t="s">
        <v>64</v>
      </c>
      <c r="E37" s="38" t="s">
        <v>144</v>
      </c>
      <c r="F37" s="27">
        <f>2.01+3.9</f>
        <v>5.91</v>
      </c>
      <c r="G37" s="23">
        <v>2.1819999999999999</v>
      </c>
      <c r="H37" s="23">
        <v>0</v>
      </c>
      <c r="I37" s="61">
        <f t="shared" si="9"/>
        <v>12.895619999999999</v>
      </c>
      <c r="J37" s="44">
        <v>2.7263157070849378</v>
      </c>
      <c r="K37" s="66">
        <f t="shared" si="7"/>
        <v>12.895619999999999</v>
      </c>
      <c r="L37" s="23">
        <v>0.15</v>
      </c>
      <c r="M37" s="61">
        <f t="shared" si="1"/>
        <v>5.2736297037897986</v>
      </c>
      <c r="N37" s="25" t="s">
        <v>139</v>
      </c>
      <c r="O37" s="153">
        <f t="shared" si="8"/>
        <v>9.2694734040887891E-2</v>
      </c>
      <c r="P37" s="66">
        <f t="shared" si="2"/>
        <v>12.895619999999999</v>
      </c>
      <c r="Q37" s="23">
        <v>0</v>
      </c>
      <c r="R37" s="61">
        <f t="shared" si="3"/>
        <v>0</v>
      </c>
      <c r="S37" s="66">
        <f t="shared" si="4"/>
        <v>9.2694734040887891E-2</v>
      </c>
      <c r="T37" s="66">
        <f t="shared" si="5"/>
        <v>12.895619999999999</v>
      </c>
      <c r="U37" s="23">
        <v>0</v>
      </c>
      <c r="V37" s="61">
        <f t="shared" si="6"/>
        <v>0</v>
      </c>
    </row>
    <row r="38" spans="2:22" ht="30" customHeight="1" x14ac:dyDescent="0.15">
      <c r="B38" s="64">
        <v>33</v>
      </c>
      <c r="C38" s="48" t="s">
        <v>94</v>
      </c>
      <c r="D38" s="55" t="s">
        <v>64</v>
      </c>
      <c r="E38" s="38" t="s">
        <v>144</v>
      </c>
      <c r="F38" s="27">
        <v>2.9550000000000001</v>
      </c>
      <c r="G38" s="23">
        <v>2.1819999999999999</v>
      </c>
      <c r="H38" s="23">
        <v>0</v>
      </c>
      <c r="I38" s="61">
        <f t="shared" si="9"/>
        <v>6.4478099999999996</v>
      </c>
      <c r="J38" s="44">
        <v>2.7263157070849378</v>
      </c>
      <c r="K38" s="66">
        <f t="shared" si="7"/>
        <v>6.4478099999999996</v>
      </c>
      <c r="L38" s="23">
        <v>0.15</v>
      </c>
      <c r="M38" s="61">
        <f t="shared" ref="M38:M69" si="10">J38*K38*L38</f>
        <v>2.6368148518948993</v>
      </c>
      <c r="N38" s="25" t="s">
        <v>139</v>
      </c>
      <c r="O38" s="153">
        <f t="shared" si="8"/>
        <v>9.2694734040887891E-2</v>
      </c>
      <c r="P38" s="66">
        <f t="shared" ref="P38:P69" si="11">K38</f>
        <v>6.4478099999999996</v>
      </c>
      <c r="Q38" s="23">
        <v>0</v>
      </c>
      <c r="R38" s="61">
        <f t="shared" ref="R38:R69" si="12">O38*P38*Q38</f>
        <v>0</v>
      </c>
      <c r="S38" s="66">
        <f t="shared" ref="S38:S69" si="13">J38*0.034</f>
        <v>9.2694734040887891E-2</v>
      </c>
      <c r="T38" s="66">
        <f t="shared" ref="T38:T69" si="14">K38</f>
        <v>6.4478099999999996</v>
      </c>
      <c r="U38" s="23">
        <v>0</v>
      </c>
      <c r="V38" s="61">
        <f t="shared" ref="V38:V69" si="15">S38*T38*U38</f>
        <v>0</v>
      </c>
    </row>
    <row r="39" spans="2:22" ht="30" customHeight="1" x14ac:dyDescent="0.15">
      <c r="B39" s="64">
        <v>34</v>
      </c>
      <c r="C39" s="48" t="s">
        <v>95</v>
      </c>
      <c r="D39" s="55" t="s">
        <v>59</v>
      </c>
      <c r="E39" s="38" t="s">
        <v>143</v>
      </c>
      <c r="F39" s="27">
        <v>1.47</v>
      </c>
      <c r="G39" s="23">
        <v>2.1819999999999999</v>
      </c>
      <c r="H39" s="23">
        <f>0.95*1.15</f>
        <v>1.0924999999999998</v>
      </c>
      <c r="I39" s="61">
        <f t="shared" si="9"/>
        <v>2.11504</v>
      </c>
      <c r="J39" s="44">
        <v>3.4277582000542148</v>
      </c>
      <c r="K39" s="66">
        <f t="shared" si="7"/>
        <v>2.11504</v>
      </c>
      <c r="L39" s="23">
        <v>1</v>
      </c>
      <c r="M39" s="61">
        <f t="shared" si="10"/>
        <v>7.2498457034426664</v>
      </c>
      <c r="N39" s="25" t="s">
        <v>133</v>
      </c>
      <c r="O39" s="153">
        <f t="shared" si="8"/>
        <v>0.11654377880184331</v>
      </c>
      <c r="P39" s="66">
        <f t="shared" si="11"/>
        <v>2.11504</v>
      </c>
      <c r="Q39" s="23">
        <v>0.52300000000000002</v>
      </c>
      <c r="R39" s="61">
        <f t="shared" si="12"/>
        <v>0.12891675629861751</v>
      </c>
      <c r="S39" s="66">
        <f t="shared" si="13"/>
        <v>0.11654377880184331</v>
      </c>
      <c r="T39" s="66">
        <f t="shared" si="14"/>
        <v>2.11504</v>
      </c>
      <c r="U39" s="23">
        <v>0.504</v>
      </c>
      <c r="V39" s="61">
        <f t="shared" si="15"/>
        <v>0.12423335597419355</v>
      </c>
    </row>
    <row r="40" spans="2:22" ht="30" customHeight="1" x14ac:dyDescent="0.15">
      <c r="B40" s="64">
        <v>35</v>
      </c>
      <c r="C40" s="48" t="s">
        <v>97</v>
      </c>
      <c r="D40" s="55" t="s">
        <v>62</v>
      </c>
      <c r="E40" s="38" t="s">
        <v>146</v>
      </c>
      <c r="F40" s="27">
        <f>2.955+0.78</f>
        <v>3.7350000000000003</v>
      </c>
      <c r="G40" s="23">
        <v>2.9550000000000001</v>
      </c>
      <c r="H40" s="23">
        <v>0</v>
      </c>
      <c r="I40" s="61">
        <f t="shared" si="9"/>
        <v>11.036925000000002</v>
      </c>
      <c r="J40" s="44">
        <v>1.2738853503184713</v>
      </c>
      <c r="K40" s="66">
        <f t="shared" si="7"/>
        <v>11.036925000000002</v>
      </c>
      <c r="L40" s="23">
        <v>0.7</v>
      </c>
      <c r="M40" s="61">
        <f t="shared" si="10"/>
        <v>9.8418439490445859</v>
      </c>
      <c r="N40" s="25" t="s">
        <v>137</v>
      </c>
      <c r="O40" s="153">
        <f t="shared" si="8"/>
        <v>4.331210191082803E-2</v>
      </c>
      <c r="P40" s="66">
        <f t="shared" si="11"/>
        <v>11.036925000000002</v>
      </c>
      <c r="Q40" s="23">
        <v>0</v>
      </c>
      <c r="R40" s="61">
        <f t="shared" si="12"/>
        <v>0</v>
      </c>
      <c r="S40" s="66">
        <f t="shared" si="13"/>
        <v>4.331210191082803E-2</v>
      </c>
      <c r="T40" s="66">
        <f t="shared" si="14"/>
        <v>11.036925000000002</v>
      </c>
      <c r="U40" s="23">
        <v>0</v>
      </c>
      <c r="V40" s="61">
        <f t="shared" si="15"/>
        <v>0</v>
      </c>
    </row>
    <row r="41" spans="2:22" ht="30" customHeight="1" x14ac:dyDescent="0.15">
      <c r="B41" s="64">
        <v>36</v>
      </c>
      <c r="C41" s="48" t="s">
        <v>98</v>
      </c>
      <c r="D41" s="55" t="s">
        <v>61</v>
      </c>
      <c r="E41" s="38" t="s">
        <v>146</v>
      </c>
      <c r="F41" s="27">
        <v>0.78</v>
      </c>
      <c r="G41" s="23">
        <v>2.0099999999999998</v>
      </c>
      <c r="H41" s="23">
        <v>0</v>
      </c>
      <c r="I41" s="61">
        <f t="shared" si="9"/>
        <v>1.5677999999999999</v>
      </c>
      <c r="J41" s="44">
        <v>2.3529411764705879</v>
      </c>
      <c r="K41" s="66">
        <f t="shared" si="7"/>
        <v>1.5677999999999999</v>
      </c>
      <c r="L41" s="23">
        <v>0.7</v>
      </c>
      <c r="M41" s="61">
        <f t="shared" si="10"/>
        <v>2.5822588235294108</v>
      </c>
      <c r="N41" s="25" t="s">
        <v>137</v>
      </c>
      <c r="O41" s="153">
        <f t="shared" si="8"/>
        <v>7.9999999999999988E-2</v>
      </c>
      <c r="P41" s="66">
        <f t="shared" si="11"/>
        <v>1.5677999999999999</v>
      </c>
      <c r="Q41" s="23">
        <v>0</v>
      </c>
      <c r="R41" s="61">
        <f t="shared" si="12"/>
        <v>0</v>
      </c>
      <c r="S41" s="66">
        <f t="shared" si="13"/>
        <v>7.9999999999999988E-2</v>
      </c>
      <c r="T41" s="66">
        <f t="shared" si="14"/>
        <v>1.5677999999999999</v>
      </c>
      <c r="U41" s="23">
        <v>0</v>
      </c>
      <c r="V41" s="61">
        <f t="shared" si="15"/>
        <v>0</v>
      </c>
    </row>
    <row r="42" spans="2:22" ht="30" customHeight="1" x14ac:dyDescent="0.15">
      <c r="B42" s="64">
        <v>37</v>
      </c>
      <c r="C42" s="48" t="s">
        <v>99</v>
      </c>
      <c r="D42" s="55" t="s">
        <v>62</v>
      </c>
      <c r="E42" s="38" t="s">
        <v>146</v>
      </c>
      <c r="F42" s="27">
        <v>2.9550000000000001</v>
      </c>
      <c r="G42" s="23">
        <v>2.0099999999999998</v>
      </c>
      <c r="H42" s="23">
        <v>0</v>
      </c>
      <c r="I42" s="61">
        <f t="shared" si="9"/>
        <v>5.9395499999999997</v>
      </c>
      <c r="J42" s="44">
        <v>1.2738853503184713</v>
      </c>
      <c r="K42" s="66">
        <f t="shared" si="7"/>
        <v>5.9395499999999997</v>
      </c>
      <c r="L42" s="23">
        <v>0.7</v>
      </c>
      <c r="M42" s="61">
        <f t="shared" si="10"/>
        <v>5.296414012738853</v>
      </c>
      <c r="N42" s="25" t="s">
        <v>137</v>
      </c>
      <c r="O42" s="153">
        <f t="shared" si="8"/>
        <v>4.331210191082803E-2</v>
      </c>
      <c r="P42" s="66">
        <f t="shared" si="11"/>
        <v>5.9395499999999997</v>
      </c>
      <c r="Q42" s="23">
        <v>0</v>
      </c>
      <c r="R42" s="61">
        <f t="shared" si="12"/>
        <v>0</v>
      </c>
      <c r="S42" s="66">
        <f t="shared" si="13"/>
        <v>4.331210191082803E-2</v>
      </c>
      <c r="T42" s="66">
        <f t="shared" si="14"/>
        <v>5.9395499999999997</v>
      </c>
      <c r="U42" s="23">
        <v>0</v>
      </c>
      <c r="V42" s="61">
        <f t="shared" si="15"/>
        <v>0</v>
      </c>
    </row>
    <row r="43" spans="2:22" ht="30" customHeight="1" x14ac:dyDescent="0.15">
      <c r="B43" s="64">
        <v>38</v>
      </c>
      <c r="C43" s="48" t="s">
        <v>100</v>
      </c>
      <c r="D43" s="55" t="s">
        <v>61</v>
      </c>
      <c r="E43" s="38" t="s">
        <v>146</v>
      </c>
      <c r="F43" s="27">
        <v>0.78</v>
      </c>
      <c r="G43" s="23">
        <v>3.9</v>
      </c>
      <c r="H43" s="23">
        <v>0</v>
      </c>
      <c r="I43" s="61">
        <f t="shared" si="9"/>
        <v>3.0419999999999998</v>
      </c>
      <c r="J43" s="44">
        <v>2.3529411764705879</v>
      </c>
      <c r="K43" s="66">
        <f t="shared" si="7"/>
        <v>3.0419999999999998</v>
      </c>
      <c r="L43" s="23">
        <v>0.7</v>
      </c>
      <c r="M43" s="61">
        <f t="shared" si="10"/>
        <v>5.0103529411764693</v>
      </c>
      <c r="N43" s="25" t="s">
        <v>137</v>
      </c>
      <c r="O43" s="153">
        <f t="shared" si="8"/>
        <v>7.9999999999999988E-2</v>
      </c>
      <c r="P43" s="66">
        <f t="shared" si="11"/>
        <v>3.0419999999999998</v>
      </c>
      <c r="Q43" s="23">
        <v>0</v>
      </c>
      <c r="R43" s="61">
        <f t="shared" si="12"/>
        <v>0</v>
      </c>
      <c r="S43" s="66">
        <f t="shared" si="13"/>
        <v>7.9999999999999988E-2</v>
      </c>
      <c r="T43" s="66">
        <f t="shared" si="14"/>
        <v>3.0419999999999998</v>
      </c>
      <c r="U43" s="23">
        <v>0</v>
      </c>
      <c r="V43" s="61">
        <f t="shared" si="15"/>
        <v>0</v>
      </c>
    </row>
    <row r="44" spans="2:22" ht="30" customHeight="1" x14ac:dyDescent="0.15">
      <c r="B44" s="64">
        <v>39</v>
      </c>
      <c r="C44" s="48" t="s">
        <v>101</v>
      </c>
      <c r="D44" s="55" t="s">
        <v>62</v>
      </c>
      <c r="E44" s="38" t="s">
        <v>146</v>
      </c>
      <c r="F44" s="27">
        <v>2.9550000000000001</v>
      </c>
      <c r="G44" s="23">
        <v>3.9</v>
      </c>
      <c r="H44" s="23">
        <v>0</v>
      </c>
      <c r="I44" s="61">
        <f t="shared" si="9"/>
        <v>11.5245</v>
      </c>
      <c r="J44" s="44">
        <v>1.2738853503184713</v>
      </c>
      <c r="K44" s="66">
        <f t="shared" si="7"/>
        <v>11.5245</v>
      </c>
      <c r="L44" s="23">
        <v>0.7</v>
      </c>
      <c r="M44" s="61">
        <f t="shared" si="10"/>
        <v>10.276624203821655</v>
      </c>
      <c r="N44" s="25" t="s">
        <v>137</v>
      </c>
      <c r="O44" s="153">
        <f t="shared" si="8"/>
        <v>4.331210191082803E-2</v>
      </c>
      <c r="P44" s="66">
        <f t="shared" si="11"/>
        <v>11.5245</v>
      </c>
      <c r="Q44" s="23">
        <v>0</v>
      </c>
      <c r="R44" s="61">
        <f t="shared" si="12"/>
        <v>0</v>
      </c>
      <c r="S44" s="66">
        <f t="shared" si="13"/>
        <v>4.331210191082803E-2</v>
      </c>
      <c r="T44" s="66">
        <f t="shared" si="14"/>
        <v>11.5245</v>
      </c>
      <c r="U44" s="23">
        <v>0</v>
      </c>
      <c r="V44" s="61">
        <f t="shared" si="15"/>
        <v>0</v>
      </c>
    </row>
    <row r="45" spans="2:22" ht="30" customHeight="1" x14ac:dyDescent="0.15">
      <c r="B45" s="64">
        <v>40</v>
      </c>
      <c r="C45" s="48" t="s">
        <v>102</v>
      </c>
      <c r="D45" s="55" t="s">
        <v>61</v>
      </c>
      <c r="E45" s="38" t="s">
        <v>146</v>
      </c>
      <c r="F45" s="27">
        <f>2.955+0.78</f>
        <v>3.7350000000000003</v>
      </c>
      <c r="G45" s="23">
        <v>0.69599999999999995</v>
      </c>
      <c r="H45" s="23">
        <v>0</v>
      </c>
      <c r="I45" s="61">
        <f t="shared" ref="I45:I46" si="16">F45*G45-H45</f>
        <v>2.5995599999999999</v>
      </c>
      <c r="J45" s="44">
        <v>3.1746031746031744</v>
      </c>
      <c r="K45" s="66">
        <f t="shared" si="7"/>
        <v>2.5995599999999999</v>
      </c>
      <c r="L45" s="23">
        <v>1</v>
      </c>
      <c r="M45" s="61">
        <f t="shared" si="10"/>
        <v>8.2525714285714269</v>
      </c>
      <c r="N45" s="25" t="s">
        <v>137</v>
      </c>
      <c r="O45" s="153">
        <f t="shared" si="8"/>
        <v>0.10793650793650794</v>
      </c>
      <c r="P45" s="66">
        <f t="shared" si="11"/>
        <v>2.5995599999999999</v>
      </c>
      <c r="Q45" s="23">
        <v>0</v>
      </c>
      <c r="R45" s="61">
        <f t="shared" si="12"/>
        <v>0</v>
      </c>
      <c r="S45" s="66">
        <f t="shared" si="13"/>
        <v>0.10793650793650794</v>
      </c>
      <c r="T45" s="66">
        <f t="shared" si="14"/>
        <v>2.5995599999999999</v>
      </c>
      <c r="U45" s="23">
        <v>0</v>
      </c>
      <c r="V45" s="61">
        <f t="shared" si="15"/>
        <v>0</v>
      </c>
    </row>
    <row r="46" spans="2:22" ht="30" customHeight="1" x14ac:dyDescent="0.15">
      <c r="B46" s="64">
        <v>41</v>
      </c>
      <c r="C46" s="48" t="s">
        <v>103</v>
      </c>
      <c r="D46" s="55" t="s">
        <v>104</v>
      </c>
      <c r="E46" s="38" t="s">
        <v>147</v>
      </c>
      <c r="F46" s="27">
        <v>1.47</v>
      </c>
      <c r="G46" s="23">
        <f>2.955+2.01+3.9</f>
        <v>8.8650000000000002</v>
      </c>
      <c r="H46" s="23">
        <v>0</v>
      </c>
      <c r="I46" s="61">
        <f t="shared" si="16"/>
        <v>13.031549999999999</v>
      </c>
      <c r="J46" s="44">
        <v>0</v>
      </c>
      <c r="K46" s="66">
        <f t="shared" si="7"/>
        <v>13.031549999999999</v>
      </c>
      <c r="L46" s="23">
        <v>1</v>
      </c>
      <c r="M46" s="61">
        <f t="shared" si="10"/>
        <v>0</v>
      </c>
      <c r="N46" s="25" t="s">
        <v>137</v>
      </c>
      <c r="O46" s="153">
        <f t="shared" si="8"/>
        <v>0</v>
      </c>
      <c r="P46" s="66">
        <f t="shared" si="11"/>
        <v>13.031549999999999</v>
      </c>
      <c r="Q46" s="23">
        <v>0</v>
      </c>
      <c r="R46" s="61">
        <f t="shared" si="12"/>
        <v>0</v>
      </c>
      <c r="S46" s="66">
        <f t="shared" si="13"/>
        <v>0</v>
      </c>
      <c r="T46" s="66">
        <f t="shared" si="14"/>
        <v>13.031549999999999</v>
      </c>
      <c r="U46" s="23">
        <v>0</v>
      </c>
      <c r="V46" s="61">
        <f t="shared" si="15"/>
        <v>0</v>
      </c>
    </row>
    <row r="47" spans="2:22" ht="30" customHeight="1" x14ac:dyDescent="0.15">
      <c r="B47" s="64">
        <v>42</v>
      </c>
      <c r="C47" s="49" t="s">
        <v>105</v>
      </c>
      <c r="D47" s="55" t="s">
        <v>63</v>
      </c>
      <c r="E47" s="38" t="s">
        <v>145</v>
      </c>
      <c r="F47" s="41">
        <f>0.78+2.955</f>
        <v>3.7350000000000003</v>
      </c>
      <c r="G47" s="42">
        <v>2.9550000000000001</v>
      </c>
      <c r="H47" s="23">
        <v>0</v>
      </c>
      <c r="I47" s="61">
        <f t="shared" ref="I47:I105" si="17">F47*G47-H47</f>
        <v>11.036925000000002</v>
      </c>
      <c r="J47" s="45">
        <v>3.9215686274509802</v>
      </c>
      <c r="K47" s="66">
        <f t="shared" si="7"/>
        <v>11.036925000000002</v>
      </c>
      <c r="L47" s="23">
        <v>1</v>
      </c>
      <c r="M47" s="61">
        <f t="shared" si="10"/>
        <v>43.282058823529418</v>
      </c>
      <c r="N47" s="70" t="s">
        <v>138</v>
      </c>
      <c r="O47" s="153">
        <f t="shared" si="8"/>
        <v>0.13333333333333333</v>
      </c>
      <c r="P47" s="66">
        <f t="shared" si="11"/>
        <v>11.036925000000002</v>
      </c>
      <c r="Q47" s="42">
        <v>1</v>
      </c>
      <c r="R47" s="62">
        <f t="shared" si="12"/>
        <v>1.4715900000000002</v>
      </c>
      <c r="S47" s="68">
        <f t="shared" si="13"/>
        <v>0.13333333333333333</v>
      </c>
      <c r="T47" s="68">
        <f t="shared" si="14"/>
        <v>11.036925000000002</v>
      </c>
      <c r="U47" s="42">
        <v>1</v>
      </c>
      <c r="V47" s="62">
        <f t="shared" si="15"/>
        <v>1.4715900000000002</v>
      </c>
    </row>
    <row r="48" spans="2:22" ht="30" customHeight="1" x14ac:dyDescent="0.15">
      <c r="B48" s="64">
        <v>43</v>
      </c>
      <c r="C48" s="49" t="s">
        <v>106</v>
      </c>
      <c r="D48" s="55" t="s">
        <v>63</v>
      </c>
      <c r="E48" s="38" t="s">
        <v>145</v>
      </c>
      <c r="F48" s="41">
        <f>0.78+2.955</f>
        <v>3.7350000000000003</v>
      </c>
      <c r="G48" s="42">
        <v>2.0099999999999998</v>
      </c>
      <c r="H48" s="23">
        <v>0</v>
      </c>
      <c r="I48" s="61">
        <f t="shared" si="17"/>
        <v>7.5073499999999997</v>
      </c>
      <c r="J48" s="45">
        <v>3.9215686274509802</v>
      </c>
      <c r="K48" s="66">
        <f t="shared" si="7"/>
        <v>7.5073499999999997</v>
      </c>
      <c r="L48" s="23">
        <v>1</v>
      </c>
      <c r="M48" s="61">
        <f t="shared" si="10"/>
        <v>29.440588235294115</v>
      </c>
      <c r="N48" s="70" t="s">
        <v>138</v>
      </c>
      <c r="O48" s="153">
        <f t="shared" si="8"/>
        <v>0.13333333333333333</v>
      </c>
      <c r="P48" s="66">
        <f t="shared" si="11"/>
        <v>7.5073499999999997</v>
      </c>
      <c r="Q48" s="42">
        <v>1</v>
      </c>
      <c r="R48" s="62">
        <f t="shared" si="12"/>
        <v>1.00098</v>
      </c>
      <c r="S48" s="68">
        <f t="shared" si="13"/>
        <v>0.13333333333333333</v>
      </c>
      <c r="T48" s="68">
        <f t="shared" si="14"/>
        <v>7.5073499999999997</v>
      </c>
      <c r="U48" s="42">
        <v>1</v>
      </c>
      <c r="V48" s="62">
        <f t="shared" si="15"/>
        <v>1.00098</v>
      </c>
    </row>
    <row r="49" spans="2:22" ht="30" customHeight="1" x14ac:dyDescent="0.15">
      <c r="B49" s="64">
        <v>44</v>
      </c>
      <c r="C49" s="49" t="s">
        <v>107</v>
      </c>
      <c r="D49" s="55" t="s">
        <v>63</v>
      </c>
      <c r="E49" s="38" t="s">
        <v>145</v>
      </c>
      <c r="F49" s="41">
        <f>0.78+2.955</f>
        <v>3.7350000000000003</v>
      </c>
      <c r="G49" s="42">
        <f>3.9</f>
        <v>3.9</v>
      </c>
      <c r="H49" s="23">
        <v>0</v>
      </c>
      <c r="I49" s="61">
        <f t="shared" si="17"/>
        <v>14.566500000000001</v>
      </c>
      <c r="J49" s="45">
        <v>3.9215686274509802</v>
      </c>
      <c r="K49" s="66">
        <f t="shared" si="7"/>
        <v>14.566500000000001</v>
      </c>
      <c r="L49" s="23">
        <v>1</v>
      </c>
      <c r="M49" s="61">
        <f t="shared" si="10"/>
        <v>57.123529411764707</v>
      </c>
      <c r="N49" s="70" t="s">
        <v>138</v>
      </c>
      <c r="O49" s="153">
        <f t="shared" si="8"/>
        <v>0.13333333333333333</v>
      </c>
      <c r="P49" s="66">
        <f t="shared" si="11"/>
        <v>14.566500000000001</v>
      </c>
      <c r="Q49" s="42">
        <v>1</v>
      </c>
      <c r="R49" s="62">
        <f t="shared" si="12"/>
        <v>1.9422000000000001</v>
      </c>
      <c r="S49" s="68">
        <f t="shared" si="13"/>
        <v>0.13333333333333333</v>
      </c>
      <c r="T49" s="68">
        <f t="shared" si="14"/>
        <v>14.566500000000001</v>
      </c>
      <c r="U49" s="42">
        <v>1</v>
      </c>
      <c r="V49" s="62">
        <f t="shared" si="15"/>
        <v>1.9422000000000001</v>
      </c>
    </row>
    <row r="50" spans="2:22" ht="30" customHeight="1" x14ac:dyDescent="0.15">
      <c r="B50" s="64">
        <v>45</v>
      </c>
      <c r="C50" s="49" t="s">
        <v>110</v>
      </c>
      <c r="D50" s="55" t="s">
        <v>63</v>
      </c>
      <c r="E50" s="38" t="s">
        <v>145</v>
      </c>
      <c r="F50" s="41">
        <f>0.78+2.955</f>
        <v>3.7350000000000003</v>
      </c>
      <c r="G50" s="42">
        <v>0.69599999999999995</v>
      </c>
      <c r="H50" s="23">
        <v>0</v>
      </c>
      <c r="I50" s="61">
        <f t="shared" si="17"/>
        <v>2.5995599999999999</v>
      </c>
      <c r="J50" s="45">
        <v>3.9215686274509802</v>
      </c>
      <c r="K50" s="66">
        <f t="shared" si="7"/>
        <v>2.5995599999999999</v>
      </c>
      <c r="L50" s="23">
        <v>1</v>
      </c>
      <c r="M50" s="61">
        <f t="shared" si="10"/>
        <v>10.19435294117647</v>
      </c>
      <c r="N50" s="70" t="s">
        <v>138</v>
      </c>
      <c r="O50" s="153">
        <f t="shared" si="8"/>
        <v>0.13333333333333333</v>
      </c>
      <c r="P50" s="66">
        <f t="shared" si="11"/>
        <v>2.5995599999999999</v>
      </c>
      <c r="Q50" s="42">
        <v>1</v>
      </c>
      <c r="R50" s="62">
        <f t="shared" si="12"/>
        <v>0.34660799999999997</v>
      </c>
      <c r="S50" s="68">
        <f t="shared" si="13"/>
        <v>0.13333333333333333</v>
      </c>
      <c r="T50" s="68">
        <f t="shared" si="14"/>
        <v>2.5995599999999999</v>
      </c>
      <c r="U50" s="42">
        <v>1</v>
      </c>
      <c r="V50" s="62">
        <f t="shared" si="15"/>
        <v>0.34660799999999997</v>
      </c>
    </row>
    <row r="51" spans="2:22" ht="30" customHeight="1" x14ac:dyDescent="0.15">
      <c r="B51" s="64">
        <v>46</v>
      </c>
      <c r="C51" s="49" t="s">
        <v>108</v>
      </c>
      <c r="D51" s="55" t="s">
        <v>63</v>
      </c>
      <c r="E51" s="38" t="s">
        <v>145</v>
      </c>
      <c r="F51" s="41">
        <v>1.47</v>
      </c>
      <c r="G51" s="42">
        <f>2.01+3.9</f>
        <v>5.91</v>
      </c>
      <c r="H51" s="23">
        <v>0</v>
      </c>
      <c r="I51" s="61">
        <f t="shared" si="17"/>
        <v>8.6876999999999995</v>
      </c>
      <c r="J51" s="45">
        <v>3.9215686274509802</v>
      </c>
      <c r="K51" s="66">
        <f t="shared" si="7"/>
        <v>8.6876999999999995</v>
      </c>
      <c r="L51" s="23">
        <v>1</v>
      </c>
      <c r="M51" s="61">
        <f t="shared" si="10"/>
        <v>34.069411764705876</v>
      </c>
      <c r="N51" s="70" t="s">
        <v>138</v>
      </c>
      <c r="O51" s="153">
        <f t="shared" si="8"/>
        <v>0.13333333333333333</v>
      </c>
      <c r="P51" s="66">
        <f t="shared" si="11"/>
        <v>8.6876999999999995</v>
      </c>
      <c r="Q51" s="42">
        <v>1</v>
      </c>
      <c r="R51" s="62">
        <f t="shared" si="12"/>
        <v>1.1583599999999998</v>
      </c>
      <c r="S51" s="68">
        <f t="shared" si="13"/>
        <v>0.13333333333333333</v>
      </c>
      <c r="T51" s="68">
        <f t="shared" si="14"/>
        <v>8.6876999999999995</v>
      </c>
      <c r="U51" s="42">
        <v>1</v>
      </c>
      <c r="V51" s="62">
        <f t="shared" si="15"/>
        <v>1.1583599999999998</v>
      </c>
    </row>
    <row r="52" spans="2:22" ht="30" customHeight="1" x14ac:dyDescent="0.15">
      <c r="B52" s="64">
        <v>47</v>
      </c>
      <c r="C52" s="49" t="s">
        <v>109</v>
      </c>
      <c r="D52" s="57" t="s">
        <v>63</v>
      </c>
      <c r="E52" s="38" t="s">
        <v>145</v>
      </c>
      <c r="F52" s="41">
        <v>1.47</v>
      </c>
      <c r="G52" s="42">
        <v>2.9550000000000001</v>
      </c>
      <c r="H52" s="42">
        <v>0</v>
      </c>
      <c r="I52" s="61">
        <f t="shared" si="17"/>
        <v>4.3438499999999998</v>
      </c>
      <c r="J52" s="45">
        <v>3.9215686274509802</v>
      </c>
      <c r="K52" s="66">
        <f t="shared" si="7"/>
        <v>4.3438499999999998</v>
      </c>
      <c r="L52" s="42">
        <v>1</v>
      </c>
      <c r="M52" s="61">
        <f t="shared" si="10"/>
        <v>17.034705882352938</v>
      </c>
      <c r="N52" s="70" t="s">
        <v>138</v>
      </c>
      <c r="O52" s="153">
        <f t="shared" si="8"/>
        <v>0.13333333333333333</v>
      </c>
      <c r="P52" s="66">
        <f t="shared" si="11"/>
        <v>4.3438499999999998</v>
      </c>
      <c r="Q52" s="42">
        <v>1</v>
      </c>
      <c r="R52" s="62">
        <f t="shared" si="12"/>
        <v>0.57917999999999992</v>
      </c>
      <c r="S52" s="68">
        <f t="shared" si="13"/>
        <v>0.13333333333333333</v>
      </c>
      <c r="T52" s="68">
        <f t="shared" si="14"/>
        <v>4.3438499999999998</v>
      </c>
      <c r="U52" s="42">
        <v>1</v>
      </c>
      <c r="V52" s="62">
        <f t="shared" si="15"/>
        <v>0.57917999999999992</v>
      </c>
    </row>
    <row r="53" spans="2:22" ht="30" customHeight="1" x14ac:dyDescent="0.15">
      <c r="B53" s="64">
        <v>48</v>
      </c>
      <c r="C53" s="49"/>
      <c r="D53" s="57"/>
      <c r="E53" s="38"/>
      <c r="F53" s="41"/>
      <c r="G53" s="42"/>
      <c r="H53" s="42"/>
      <c r="I53" s="61">
        <f t="shared" si="17"/>
        <v>0</v>
      </c>
      <c r="J53" s="45"/>
      <c r="K53" s="66">
        <f t="shared" si="7"/>
        <v>0</v>
      </c>
      <c r="L53" s="42"/>
      <c r="M53" s="61">
        <f t="shared" si="10"/>
        <v>0</v>
      </c>
      <c r="N53" s="70"/>
      <c r="O53" s="153">
        <f t="shared" si="8"/>
        <v>0</v>
      </c>
      <c r="P53" s="66">
        <f t="shared" si="11"/>
        <v>0</v>
      </c>
      <c r="Q53" s="42"/>
      <c r="R53" s="62">
        <f t="shared" si="12"/>
        <v>0</v>
      </c>
      <c r="S53" s="68">
        <f t="shared" si="13"/>
        <v>0</v>
      </c>
      <c r="T53" s="68">
        <f t="shared" si="14"/>
        <v>0</v>
      </c>
      <c r="U53" s="42"/>
      <c r="V53" s="62">
        <f t="shared" si="15"/>
        <v>0</v>
      </c>
    </row>
    <row r="54" spans="2:22" ht="30" customHeight="1" x14ac:dyDescent="0.15">
      <c r="B54" s="64">
        <v>49</v>
      </c>
      <c r="C54" s="49"/>
      <c r="D54" s="57"/>
      <c r="E54" s="38"/>
      <c r="F54" s="41"/>
      <c r="G54" s="42"/>
      <c r="H54" s="42"/>
      <c r="I54" s="61">
        <f t="shared" si="17"/>
        <v>0</v>
      </c>
      <c r="J54" s="45"/>
      <c r="K54" s="66">
        <f t="shared" si="7"/>
        <v>0</v>
      </c>
      <c r="L54" s="42"/>
      <c r="M54" s="61">
        <f t="shared" si="10"/>
        <v>0</v>
      </c>
      <c r="N54" s="70"/>
      <c r="O54" s="153">
        <f t="shared" si="8"/>
        <v>0</v>
      </c>
      <c r="P54" s="66">
        <f t="shared" si="11"/>
        <v>0</v>
      </c>
      <c r="Q54" s="42"/>
      <c r="R54" s="62">
        <f t="shared" si="12"/>
        <v>0</v>
      </c>
      <c r="S54" s="68">
        <f t="shared" si="13"/>
        <v>0</v>
      </c>
      <c r="T54" s="68">
        <f t="shared" si="14"/>
        <v>0</v>
      </c>
      <c r="U54" s="42"/>
      <c r="V54" s="62">
        <f t="shared" si="15"/>
        <v>0</v>
      </c>
    </row>
    <row r="55" spans="2:22" ht="30" customHeight="1" x14ac:dyDescent="0.15">
      <c r="B55" s="64">
        <v>50</v>
      </c>
      <c r="C55" s="49"/>
      <c r="D55" s="57"/>
      <c r="E55" s="38"/>
      <c r="F55" s="41"/>
      <c r="G55" s="42"/>
      <c r="H55" s="42"/>
      <c r="I55" s="61">
        <f t="shared" si="17"/>
        <v>0</v>
      </c>
      <c r="J55" s="45"/>
      <c r="K55" s="66">
        <f t="shared" si="7"/>
        <v>0</v>
      </c>
      <c r="L55" s="42"/>
      <c r="M55" s="61">
        <f t="shared" si="10"/>
        <v>0</v>
      </c>
      <c r="N55" s="70"/>
      <c r="O55" s="153">
        <f t="shared" si="8"/>
        <v>0</v>
      </c>
      <c r="P55" s="66">
        <f t="shared" si="11"/>
        <v>0</v>
      </c>
      <c r="Q55" s="42"/>
      <c r="R55" s="62">
        <f t="shared" si="12"/>
        <v>0</v>
      </c>
      <c r="S55" s="68">
        <f t="shared" si="13"/>
        <v>0</v>
      </c>
      <c r="T55" s="68">
        <f t="shared" si="14"/>
        <v>0</v>
      </c>
      <c r="U55" s="42"/>
      <c r="V55" s="62">
        <f t="shared" si="15"/>
        <v>0</v>
      </c>
    </row>
    <row r="56" spans="2:22" ht="30" customHeight="1" x14ac:dyDescent="0.15">
      <c r="B56" s="64">
        <v>51</v>
      </c>
      <c r="C56" s="49"/>
      <c r="D56" s="57"/>
      <c r="E56" s="38"/>
      <c r="F56" s="41"/>
      <c r="G56" s="42"/>
      <c r="H56" s="42"/>
      <c r="I56" s="61">
        <f t="shared" si="17"/>
        <v>0</v>
      </c>
      <c r="J56" s="45"/>
      <c r="K56" s="66">
        <f t="shared" si="7"/>
        <v>0</v>
      </c>
      <c r="L56" s="42"/>
      <c r="M56" s="61">
        <f t="shared" si="10"/>
        <v>0</v>
      </c>
      <c r="N56" s="70"/>
      <c r="O56" s="153">
        <f t="shared" si="8"/>
        <v>0</v>
      </c>
      <c r="P56" s="66">
        <f t="shared" si="11"/>
        <v>0</v>
      </c>
      <c r="Q56" s="42"/>
      <c r="R56" s="62">
        <f t="shared" si="12"/>
        <v>0</v>
      </c>
      <c r="S56" s="68">
        <f t="shared" si="13"/>
        <v>0</v>
      </c>
      <c r="T56" s="68">
        <f t="shared" si="14"/>
        <v>0</v>
      </c>
      <c r="U56" s="42"/>
      <c r="V56" s="62">
        <f t="shared" si="15"/>
        <v>0</v>
      </c>
    </row>
    <row r="57" spans="2:22" ht="30" customHeight="1" x14ac:dyDescent="0.15">
      <c r="B57" s="64">
        <v>52</v>
      </c>
      <c r="C57" s="49"/>
      <c r="D57" s="57"/>
      <c r="E57" s="38"/>
      <c r="F57" s="41"/>
      <c r="G57" s="42"/>
      <c r="H57" s="42"/>
      <c r="I57" s="61">
        <f t="shared" si="17"/>
        <v>0</v>
      </c>
      <c r="J57" s="45"/>
      <c r="K57" s="66">
        <f t="shared" si="7"/>
        <v>0</v>
      </c>
      <c r="L57" s="42"/>
      <c r="M57" s="61">
        <f t="shared" si="10"/>
        <v>0</v>
      </c>
      <c r="N57" s="70"/>
      <c r="O57" s="153">
        <f t="shared" si="8"/>
        <v>0</v>
      </c>
      <c r="P57" s="66">
        <f t="shared" si="11"/>
        <v>0</v>
      </c>
      <c r="Q57" s="42"/>
      <c r="R57" s="62">
        <f t="shared" si="12"/>
        <v>0</v>
      </c>
      <c r="S57" s="68">
        <f t="shared" si="13"/>
        <v>0</v>
      </c>
      <c r="T57" s="68">
        <f t="shared" si="14"/>
        <v>0</v>
      </c>
      <c r="U57" s="42"/>
      <c r="V57" s="62">
        <f t="shared" si="15"/>
        <v>0</v>
      </c>
    </row>
    <row r="58" spans="2:22" ht="30" customHeight="1" x14ac:dyDescent="0.15">
      <c r="B58" s="64">
        <v>53</v>
      </c>
      <c r="C58" s="49"/>
      <c r="D58" s="57"/>
      <c r="E58" s="38"/>
      <c r="F58" s="41"/>
      <c r="G58" s="42"/>
      <c r="H58" s="42"/>
      <c r="I58" s="61">
        <f t="shared" si="17"/>
        <v>0</v>
      </c>
      <c r="J58" s="45"/>
      <c r="K58" s="66">
        <f t="shared" si="7"/>
        <v>0</v>
      </c>
      <c r="L58" s="42"/>
      <c r="M58" s="61">
        <f t="shared" si="10"/>
        <v>0</v>
      </c>
      <c r="N58" s="70"/>
      <c r="O58" s="153">
        <f t="shared" si="8"/>
        <v>0</v>
      </c>
      <c r="P58" s="66">
        <f t="shared" si="11"/>
        <v>0</v>
      </c>
      <c r="Q58" s="42"/>
      <c r="R58" s="62">
        <f t="shared" si="12"/>
        <v>0</v>
      </c>
      <c r="S58" s="68">
        <f t="shared" si="13"/>
        <v>0</v>
      </c>
      <c r="T58" s="68">
        <f t="shared" si="14"/>
        <v>0</v>
      </c>
      <c r="U58" s="42"/>
      <c r="V58" s="62">
        <f t="shared" si="15"/>
        <v>0</v>
      </c>
    </row>
    <row r="59" spans="2:22" ht="30" customHeight="1" x14ac:dyDescent="0.15">
      <c r="B59" s="64">
        <v>54</v>
      </c>
      <c r="C59" s="49"/>
      <c r="D59" s="57"/>
      <c r="E59" s="38"/>
      <c r="F59" s="41"/>
      <c r="G59" s="42"/>
      <c r="H59" s="42"/>
      <c r="I59" s="61">
        <f t="shared" si="17"/>
        <v>0</v>
      </c>
      <c r="J59" s="45"/>
      <c r="K59" s="66">
        <f t="shared" si="7"/>
        <v>0</v>
      </c>
      <c r="L59" s="42"/>
      <c r="M59" s="61">
        <f t="shared" si="10"/>
        <v>0</v>
      </c>
      <c r="N59" s="70"/>
      <c r="O59" s="153">
        <f t="shared" si="8"/>
        <v>0</v>
      </c>
      <c r="P59" s="66">
        <f t="shared" si="11"/>
        <v>0</v>
      </c>
      <c r="Q59" s="42"/>
      <c r="R59" s="62">
        <f t="shared" si="12"/>
        <v>0</v>
      </c>
      <c r="S59" s="68">
        <f t="shared" si="13"/>
        <v>0</v>
      </c>
      <c r="T59" s="68">
        <f t="shared" si="14"/>
        <v>0</v>
      </c>
      <c r="U59" s="42"/>
      <c r="V59" s="62">
        <f t="shared" si="15"/>
        <v>0</v>
      </c>
    </row>
    <row r="60" spans="2:22" ht="30" customHeight="1" x14ac:dyDescent="0.15">
      <c r="B60" s="64">
        <v>55</v>
      </c>
      <c r="C60" s="49"/>
      <c r="D60" s="57"/>
      <c r="E60" s="38"/>
      <c r="F60" s="41"/>
      <c r="G60" s="42"/>
      <c r="H60" s="42"/>
      <c r="I60" s="61">
        <f t="shared" si="17"/>
        <v>0</v>
      </c>
      <c r="J60" s="45"/>
      <c r="K60" s="66">
        <f t="shared" si="7"/>
        <v>0</v>
      </c>
      <c r="L60" s="42"/>
      <c r="M60" s="61">
        <f t="shared" si="10"/>
        <v>0</v>
      </c>
      <c r="N60" s="70"/>
      <c r="O60" s="153">
        <f t="shared" si="8"/>
        <v>0</v>
      </c>
      <c r="P60" s="66">
        <f t="shared" si="11"/>
        <v>0</v>
      </c>
      <c r="Q60" s="42"/>
      <c r="R60" s="62">
        <f t="shared" si="12"/>
        <v>0</v>
      </c>
      <c r="S60" s="68">
        <f t="shared" si="13"/>
        <v>0</v>
      </c>
      <c r="T60" s="68">
        <f t="shared" si="14"/>
        <v>0</v>
      </c>
      <c r="U60" s="42"/>
      <c r="V60" s="62">
        <f t="shared" si="15"/>
        <v>0</v>
      </c>
    </row>
    <row r="61" spans="2:22" ht="30" customHeight="1" x14ac:dyDescent="0.15">
      <c r="B61" s="64">
        <v>56</v>
      </c>
      <c r="C61" s="49"/>
      <c r="D61" s="57"/>
      <c r="E61" s="38"/>
      <c r="F61" s="41"/>
      <c r="G61" s="42"/>
      <c r="H61" s="42"/>
      <c r="I61" s="61">
        <f t="shared" si="17"/>
        <v>0</v>
      </c>
      <c r="J61" s="45"/>
      <c r="K61" s="66">
        <f t="shared" si="7"/>
        <v>0</v>
      </c>
      <c r="L61" s="42"/>
      <c r="M61" s="61">
        <f t="shared" si="10"/>
        <v>0</v>
      </c>
      <c r="N61" s="70"/>
      <c r="O61" s="153">
        <f t="shared" si="8"/>
        <v>0</v>
      </c>
      <c r="P61" s="66">
        <f t="shared" si="11"/>
        <v>0</v>
      </c>
      <c r="Q61" s="42"/>
      <c r="R61" s="62">
        <f t="shared" si="12"/>
        <v>0</v>
      </c>
      <c r="S61" s="68">
        <f t="shared" si="13"/>
        <v>0</v>
      </c>
      <c r="T61" s="68">
        <f t="shared" si="14"/>
        <v>0</v>
      </c>
      <c r="U61" s="42"/>
      <c r="V61" s="62">
        <f t="shared" si="15"/>
        <v>0</v>
      </c>
    </row>
    <row r="62" spans="2:22" ht="30" customHeight="1" x14ac:dyDescent="0.15">
      <c r="B62" s="64">
        <v>57</v>
      </c>
      <c r="C62" s="49"/>
      <c r="D62" s="57"/>
      <c r="E62" s="38"/>
      <c r="F62" s="41"/>
      <c r="G62" s="42"/>
      <c r="H62" s="42"/>
      <c r="I62" s="61">
        <f t="shared" si="17"/>
        <v>0</v>
      </c>
      <c r="J62" s="45"/>
      <c r="K62" s="66">
        <f t="shared" si="7"/>
        <v>0</v>
      </c>
      <c r="L62" s="42"/>
      <c r="M62" s="61">
        <f t="shared" si="10"/>
        <v>0</v>
      </c>
      <c r="N62" s="70"/>
      <c r="O62" s="153">
        <f t="shared" si="8"/>
        <v>0</v>
      </c>
      <c r="P62" s="66">
        <f t="shared" si="11"/>
        <v>0</v>
      </c>
      <c r="Q62" s="42"/>
      <c r="R62" s="62">
        <f t="shared" si="12"/>
        <v>0</v>
      </c>
      <c r="S62" s="68">
        <f t="shared" si="13"/>
        <v>0</v>
      </c>
      <c r="T62" s="68">
        <f t="shared" si="14"/>
        <v>0</v>
      </c>
      <c r="U62" s="42"/>
      <c r="V62" s="62">
        <f t="shared" si="15"/>
        <v>0</v>
      </c>
    </row>
    <row r="63" spans="2:22" ht="30" customHeight="1" x14ac:dyDescent="0.15">
      <c r="B63" s="64">
        <v>58</v>
      </c>
      <c r="C63" s="49"/>
      <c r="D63" s="57"/>
      <c r="E63" s="38"/>
      <c r="F63" s="41"/>
      <c r="G63" s="42"/>
      <c r="H63" s="42"/>
      <c r="I63" s="61">
        <f t="shared" si="17"/>
        <v>0</v>
      </c>
      <c r="J63" s="45"/>
      <c r="K63" s="66">
        <f t="shared" si="7"/>
        <v>0</v>
      </c>
      <c r="L63" s="42"/>
      <c r="M63" s="61">
        <f t="shared" si="10"/>
        <v>0</v>
      </c>
      <c r="N63" s="70"/>
      <c r="O63" s="153">
        <f t="shared" si="8"/>
        <v>0</v>
      </c>
      <c r="P63" s="66">
        <f t="shared" si="11"/>
        <v>0</v>
      </c>
      <c r="Q63" s="42"/>
      <c r="R63" s="62">
        <f t="shared" si="12"/>
        <v>0</v>
      </c>
      <c r="S63" s="68">
        <f t="shared" si="13"/>
        <v>0</v>
      </c>
      <c r="T63" s="68">
        <f t="shared" si="14"/>
        <v>0</v>
      </c>
      <c r="U63" s="42"/>
      <c r="V63" s="62">
        <f t="shared" si="15"/>
        <v>0</v>
      </c>
    </row>
    <row r="64" spans="2:22" ht="30" customHeight="1" x14ac:dyDescent="0.15">
      <c r="B64" s="64">
        <v>59</v>
      </c>
      <c r="C64" s="49"/>
      <c r="D64" s="57"/>
      <c r="E64" s="38"/>
      <c r="F64" s="41"/>
      <c r="G64" s="42"/>
      <c r="H64" s="42"/>
      <c r="I64" s="61">
        <f t="shared" si="17"/>
        <v>0</v>
      </c>
      <c r="J64" s="45"/>
      <c r="K64" s="66">
        <f t="shared" si="7"/>
        <v>0</v>
      </c>
      <c r="L64" s="42"/>
      <c r="M64" s="61">
        <f t="shared" si="10"/>
        <v>0</v>
      </c>
      <c r="N64" s="70"/>
      <c r="O64" s="153">
        <f t="shared" si="8"/>
        <v>0</v>
      </c>
      <c r="P64" s="66">
        <f t="shared" si="11"/>
        <v>0</v>
      </c>
      <c r="Q64" s="42"/>
      <c r="R64" s="62">
        <f t="shared" si="12"/>
        <v>0</v>
      </c>
      <c r="S64" s="68">
        <f t="shared" si="13"/>
        <v>0</v>
      </c>
      <c r="T64" s="68">
        <f t="shared" si="14"/>
        <v>0</v>
      </c>
      <c r="U64" s="42"/>
      <c r="V64" s="62">
        <f t="shared" si="15"/>
        <v>0</v>
      </c>
    </row>
    <row r="65" spans="2:22" ht="30" customHeight="1" x14ac:dyDescent="0.15">
      <c r="B65" s="64">
        <v>60</v>
      </c>
      <c r="C65" s="49"/>
      <c r="D65" s="57"/>
      <c r="E65" s="38"/>
      <c r="F65" s="41"/>
      <c r="G65" s="42"/>
      <c r="H65" s="42"/>
      <c r="I65" s="61">
        <f t="shared" si="17"/>
        <v>0</v>
      </c>
      <c r="J65" s="45"/>
      <c r="K65" s="66">
        <f t="shared" si="7"/>
        <v>0</v>
      </c>
      <c r="L65" s="42"/>
      <c r="M65" s="61">
        <f t="shared" si="10"/>
        <v>0</v>
      </c>
      <c r="N65" s="70"/>
      <c r="O65" s="153">
        <f t="shared" si="8"/>
        <v>0</v>
      </c>
      <c r="P65" s="66">
        <f t="shared" si="11"/>
        <v>0</v>
      </c>
      <c r="Q65" s="42"/>
      <c r="R65" s="62">
        <f t="shared" si="12"/>
        <v>0</v>
      </c>
      <c r="S65" s="68">
        <f t="shared" si="13"/>
        <v>0</v>
      </c>
      <c r="T65" s="68">
        <f t="shared" si="14"/>
        <v>0</v>
      </c>
      <c r="U65" s="42"/>
      <c r="V65" s="62">
        <f t="shared" si="15"/>
        <v>0</v>
      </c>
    </row>
    <row r="66" spans="2:22" ht="30" customHeight="1" x14ac:dyDescent="0.15">
      <c r="B66" s="64">
        <v>61</v>
      </c>
      <c r="C66" s="49"/>
      <c r="D66" s="57"/>
      <c r="E66" s="38"/>
      <c r="F66" s="41"/>
      <c r="G66" s="42"/>
      <c r="H66" s="42"/>
      <c r="I66" s="61">
        <f t="shared" si="17"/>
        <v>0</v>
      </c>
      <c r="J66" s="45"/>
      <c r="K66" s="66">
        <f t="shared" si="7"/>
        <v>0</v>
      </c>
      <c r="L66" s="42"/>
      <c r="M66" s="61">
        <f t="shared" si="10"/>
        <v>0</v>
      </c>
      <c r="N66" s="70"/>
      <c r="O66" s="153">
        <f t="shared" si="8"/>
        <v>0</v>
      </c>
      <c r="P66" s="66">
        <f t="shared" si="11"/>
        <v>0</v>
      </c>
      <c r="Q66" s="42"/>
      <c r="R66" s="62">
        <f t="shared" si="12"/>
        <v>0</v>
      </c>
      <c r="S66" s="68">
        <f t="shared" si="13"/>
        <v>0</v>
      </c>
      <c r="T66" s="68">
        <f t="shared" si="14"/>
        <v>0</v>
      </c>
      <c r="U66" s="42"/>
      <c r="V66" s="62">
        <f t="shared" si="15"/>
        <v>0</v>
      </c>
    </row>
    <row r="67" spans="2:22" ht="30" customHeight="1" x14ac:dyDescent="0.15">
      <c r="B67" s="64">
        <v>62</v>
      </c>
      <c r="C67" s="49"/>
      <c r="D67" s="57"/>
      <c r="E67" s="38"/>
      <c r="F67" s="41"/>
      <c r="G67" s="42"/>
      <c r="H67" s="42"/>
      <c r="I67" s="61">
        <f t="shared" si="17"/>
        <v>0</v>
      </c>
      <c r="J67" s="45"/>
      <c r="K67" s="66">
        <f t="shared" si="7"/>
        <v>0</v>
      </c>
      <c r="L67" s="42"/>
      <c r="M67" s="61">
        <f t="shared" si="10"/>
        <v>0</v>
      </c>
      <c r="N67" s="70"/>
      <c r="O67" s="153">
        <f t="shared" si="8"/>
        <v>0</v>
      </c>
      <c r="P67" s="66">
        <f t="shared" si="11"/>
        <v>0</v>
      </c>
      <c r="Q67" s="42"/>
      <c r="R67" s="62">
        <f t="shared" si="12"/>
        <v>0</v>
      </c>
      <c r="S67" s="68">
        <f t="shared" si="13"/>
        <v>0</v>
      </c>
      <c r="T67" s="68">
        <f t="shared" si="14"/>
        <v>0</v>
      </c>
      <c r="U67" s="42"/>
      <c r="V67" s="62">
        <f t="shared" si="15"/>
        <v>0</v>
      </c>
    </row>
    <row r="68" spans="2:22" ht="30" customHeight="1" x14ac:dyDescent="0.15">
      <c r="B68" s="64">
        <v>63</v>
      </c>
      <c r="C68" s="49"/>
      <c r="D68" s="57"/>
      <c r="E68" s="38"/>
      <c r="F68" s="41"/>
      <c r="G68" s="42"/>
      <c r="H68" s="42"/>
      <c r="I68" s="61">
        <f t="shared" si="17"/>
        <v>0</v>
      </c>
      <c r="J68" s="45"/>
      <c r="K68" s="66">
        <f t="shared" si="7"/>
        <v>0</v>
      </c>
      <c r="L68" s="42"/>
      <c r="M68" s="61">
        <f t="shared" si="10"/>
        <v>0</v>
      </c>
      <c r="N68" s="70"/>
      <c r="O68" s="153">
        <f t="shared" si="8"/>
        <v>0</v>
      </c>
      <c r="P68" s="66">
        <f t="shared" si="11"/>
        <v>0</v>
      </c>
      <c r="Q68" s="42"/>
      <c r="R68" s="62">
        <f t="shared" si="12"/>
        <v>0</v>
      </c>
      <c r="S68" s="68">
        <f t="shared" si="13"/>
        <v>0</v>
      </c>
      <c r="T68" s="68">
        <f t="shared" si="14"/>
        <v>0</v>
      </c>
      <c r="U68" s="42"/>
      <c r="V68" s="62">
        <f t="shared" si="15"/>
        <v>0</v>
      </c>
    </row>
    <row r="69" spans="2:22" ht="30" customHeight="1" x14ac:dyDescent="0.15">
      <c r="B69" s="64">
        <v>64</v>
      </c>
      <c r="C69" s="49"/>
      <c r="D69" s="57"/>
      <c r="E69" s="38"/>
      <c r="F69" s="41"/>
      <c r="G69" s="42"/>
      <c r="H69" s="42"/>
      <c r="I69" s="61">
        <f t="shared" si="17"/>
        <v>0</v>
      </c>
      <c r="J69" s="45"/>
      <c r="K69" s="66">
        <f t="shared" si="7"/>
        <v>0</v>
      </c>
      <c r="L69" s="42"/>
      <c r="M69" s="61">
        <f t="shared" si="10"/>
        <v>0</v>
      </c>
      <c r="N69" s="70"/>
      <c r="O69" s="153">
        <f t="shared" si="8"/>
        <v>0</v>
      </c>
      <c r="P69" s="66">
        <f t="shared" si="11"/>
        <v>0</v>
      </c>
      <c r="Q69" s="42"/>
      <c r="R69" s="62">
        <f t="shared" si="12"/>
        <v>0</v>
      </c>
      <c r="S69" s="68">
        <f t="shared" si="13"/>
        <v>0</v>
      </c>
      <c r="T69" s="68">
        <f t="shared" si="14"/>
        <v>0</v>
      </c>
      <c r="U69" s="42"/>
      <c r="V69" s="62">
        <f t="shared" si="15"/>
        <v>0</v>
      </c>
    </row>
    <row r="70" spans="2:22" ht="30" customHeight="1" x14ac:dyDescent="0.15">
      <c r="B70" s="64">
        <v>65</v>
      </c>
      <c r="C70" s="49"/>
      <c r="D70" s="57"/>
      <c r="E70" s="38"/>
      <c r="F70" s="41"/>
      <c r="G70" s="42"/>
      <c r="H70" s="42"/>
      <c r="I70" s="61">
        <f t="shared" si="17"/>
        <v>0</v>
      </c>
      <c r="J70" s="45"/>
      <c r="K70" s="66">
        <f t="shared" si="7"/>
        <v>0</v>
      </c>
      <c r="L70" s="42"/>
      <c r="M70" s="61">
        <f t="shared" ref="M70:M101" si="18">J70*K70*L70</f>
        <v>0</v>
      </c>
      <c r="N70" s="70"/>
      <c r="O70" s="153">
        <f t="shared" si="8"/>
        <v>0</v>
      </c>
      <c r="P70" s="66">
        <f t="shared" ref="P70:P105" si="19">K70</f>
        <v>0</v>
      </c>
      <c r="Q70" s="42"/>
      <c r="R70" s="62">
        <f t="shared" ref="R70:R101" si="20">O70*P70*Q70</f>
        <v>0</v>
      </c>
      <c r="S70" s="68">
        <f t="shared" ref="S70:S105" si="21">J70*0.034</f>
        <v>0</v>
      </c>
      <c r="T70" s="68">
        <f t="shared" ref="T70:T105" si="22">K70</f>
        <v>0</v>
      </c>
      <c r="U70" s="42"/>
      <c r="V70" s="62">
        <f t="shared" ref="V70:V101" si="23">S70*T70*U70</f>
        <v>0</v>
      </c>
    </row>
    <row r="71" spans="2:22" ht="30" customHeight="1" x14ac:dyDescent="0.15">
      <c r="B71" s="64">
        <v>66</v>
      </c>
      <c r="C71" s="49"/>
      <c r="D71" s="57"/>
      <c r="E71" s="38"/>
      <c r="F71" s="41"/>
      <c r="G71" s="42"/>
      <c r="H71" s="42"/>
      <c r="I71" s="61">
        <f t="shared" si="17"/>
        <v>0</v>
      </c>
      <c r="J71" s="45"/>
      <c r="K71" s="66">
        <f t="shared" si="7"/>
        <v>0</v>
      </c>
      <c r="L71" s="42"/>
      <c r="M71" s="61">
        <f t="shared" si="18"/>
        <v>0</v>
      </c>
      <c r="N71" s="70"/>
      <c r="O71" s="153">
        <f t="shared" si="8"/>
        <v>0</v>
      </c>
      <c r="P71" s="66">
        <f t="shared" si="19"/>
        <v>0</v>
      </c>
      <c r="Q71" s="42"/>
      <c r="R71" s="62">
        <f t="shared" si="20"/>
        <v>0</v>
      </c>
      <c r="S71" s="68">
        <f t="shared" si="21"/>
        <v>0</v>
      </c>
      <c r="T71" s="68">
        <f t="shared" si="22"/>
        <v>0</v>
      </c>
      <c r="U71" s="42"/>
      <c r="V71" s="62">
        <f t="shared" si="23"/>
        <v>0</v>
      </c>
    </row>
    <row r="72" spans="2:22" ht="30" customHeight="1" x14ac:dyDescent="0.15">
      <c r="B72" s="64">
        <v>67</v>
      </c>
      <c r="C72" s="49"/>
      <c r="D72" s="57"/>
      <c r="E72" s="38"/>
      <c r="F72" s="41"/>
      <c r="G72" s="42"/>
      <c r="H72" s="42"/>
      <c r="I72" s="61">
        <f t="shared" si="17"/>
        <v>0</v>
      </c>
      <c r="J72" s="45"/>
      <c r="K72" s="66">
        <f t="shared" ref="K72:K105" si="24">I72</f>
        <v>0</v>
      </c>
      <c r="L72" s="42"/>
      <c r="M72" s="61">
        <f t="shared" si="18"/>
        <v>0</v>
      </c>
      <c r="N72" s="70"/>
      <c r="O72" s="153">
        <f t="shared" ref="O72:O105" si="25">J72*0.034</f>
        <v>0</v>
      </c>
      <c r="P72" s="66">
        <f t="shared" si="19"/>
        <v>0</v>
      </c>
      <c r="Q72" s="42"/>
      <c r="R72" s="62">
        <f t="shared" si="20"/>
        <v>0</v>
      </c>
      <c r="S72" s="68">
        <f t="shared" si="21"/>
        <v>0</v>
      </c>
      <c r="T72" s="68">
        <f t="shared" si="22"/>
        <v>0</v>
      </c>
      <c r="U72" s="42"/>
      <c r="V72" s="62">
        <f t="shared" si="23"/>
        <v>0</v>
      </c>
    </row>
    <row r="73" spans="2:22" ht="30" customHeight="1" x14ac:dyDescent="0.15">
      <c r="B73" s="64">
        <v>68</v>
      </c>
      <c r="C73" s="49"/>
      <c r="D73" s="57"/>
      <c r="E73" s="38"/>
      <c r="F73" s="41"/>
      <c r="G73" s="42"/>
      <c r="H73" s="42"/>
      <c r="I73" s="61">
        <f t="shared" si="17"/>
        <v>0</v>
      </c>
      <c r="J73" s="45"/>
      <c r="K73" s="66">
        <f t="shared" si="24"/>
        <v>0</v>
      </c>
      <c r="L73" s="42"/>
      <c r="M73" s="61">
        <f t="shared" si="18"/>
        <v>0</v>
      </c>
      <c r="N73" s="70"/>
      <c r="O73" s="153">
        <f t="shared" si="25"/>
        <v>0</v>
      </c>
      <c r="P73" s="66">
        <f t="shared" si="19"/>
        <v>0</v>
      </c>
      <c r="Q73" s="42"/>
      <c r="R73" s="62">
        <f t="shared" si="20"/>
        <v>0</v>
      </c>
      <c r="S73" s="68">
        <f t="shared" si="21"/>
        <v>0</v>
      </c>
      <c r="T73" s="68">
        <f t="shared" si="22"/>
        <v>0</v>
      </c>
      <c r="U73" s="42"/>
      <c r="V73" s="62">
        <f t="shared" si="23"/>
        <v>0</v>
      </c>
    </row>
    <row r="74" spans="2:22" ht="30" customHeight="1" x14ac:dyDescent="0.15">
      <c r="B74" s="64">
        <v>69</v>
      </c>
      <c r="C74" s="49"/>
      <c r="D74" s="57"/>
      <c r="E74" s="38"/>
      <c r="F74" s="41"/>
      <c r="G74" s="42"/>
      <c r="H74" s="42"/>
      <c r="I74" s="61">
        <f t="shared" si="17"/>
        <v>0</v>
      </c>
      <c r="J74" s="45"/>
      <c r="K74" s="66">
        <f t="shared" si="24"/>
        <v>0</v>
      </c>
      <c r="L74" s="42"/>
      <c r="M74" s="61">
        <f t="shared" si="18"/>
        <v>0</v>
      </c>
      <c r="N74" s="70"/>
      <c r="O74" s="153">
        <f t="shared" si="25"/>
        <v>0</v>
      </c>
      <c r="P74" s="66">
        <f t="shared" si="19"/>
        <v>0</v>
      </c>
      <c r="Q74" s="42"/>
      <c r="R74" s="62">
        <f t="shared" si="20"/>
        <v>0</v>
      </c>
      <c r="S74" s="68">
        <f t="shared" si="21"/>
        <v>0</v>
      </c>
      <c r="T74" s="68">
        <f t="shared" si="22"/>
        <v>0</v>
      </c>
      <c r="U74" s="42"/>
      <c r="V74" s="62">
        <f t="shared" si="23"/>
        <v>0</v>
      </c>
    </row>
    <row r="75" spans="2:22" ht="30" customHeight="1" x14ac:dyDescent="0.15">
      <c r="B75" s="64">
        <v>70</v>
      </c>
      <c r="C75" s="49"/>
      <c r="D75" s="57"/>
      <c r="E75" s="38"/>
      <c r="F75" s="41"/>
      <c r="G75" s="42"/>
      <c r="H75" s="42"/>
      <c r="I75" s="61">
        <f t="shared" si="17"/>
        <v>0</v>
      </c>
      <c r="J75" s="45"/>
      <c r="K75" s="66">
        <f t="shared" si="24"/>
        <v>0</v>
      </c>
      <c r="L75" s="42"/>
      <c r="M75" s="61">
        <f t="shared" si="18"/>
        <v>0</v>
      </c>
      <c r="N75" s="70"/>
      <c r="O75" s="153">
        <f t="shared" si="25"/>
        <v>0</v>
      </c>
      <c r="P75" s="66">
        <f t="shared" si="19"/>
        <v>0</v>
      </c>
      <c r="Q75" s="42"/>
      <c r="R75" s="62">
        <f t="shared" si="20"/>
        <v>0</v>
      </c>
      <c r="S75" s="68">
        <f t="shared" si="21"/>
        <v>0</v>
      </c>
      <c r="T75" s="68">
        <f t="shared" si="22"/>
        <v>0</v>
      </c>
      <c r="U75" s="42"/>
      <c r="V75" s="62">
        <f t="shared" si="23"/>
        <v>0</v>
      </c>
    </row>
    <row r="76" spans="2:22" ht="30" customHeight="1" x14ac:dyDescent="0.15">
      <c r="B76" s="64">
        <v>71</v>
      </c>
      <c r="C76" s="49"/>
      <c r="D76" s="57"/>
      <c r="E76" s="38"/>
      <c r="F76" s="41"/>
      <c r="G76" s="42"/>
      <c r="H76" s="42"/>
      <c r="I76" s="61">
        <f t="shared" si="17"/>
        <v>0</v>
      </c>
      <c r="J76" s="45"/>
      <c r="K76" s="66">
        <f t="shared" si="24"/>
        <v>0</v>
      </c>
      <c r="L76" s="42"/>
      <c r="M76" s="61">
        <f t="shared" si="18"/>
        <v>0</v>
      </c>
      <c r="N76" s="70"/>
      <c r="O76" s="153">
        <f t="shared" si="25"/>
        <v>0</v>
      </c>
      <c r="P76" s="66">
        <f t="shared" si="19"/>
        <v>0</v>
      </c>
      <c r="Q76" s="42"/>
      <c r="R76" s="62">
        <f t="shared" si="20"/>
        <v>0</v>
      </c>
      <c r="S76" s="68">
        <f t="shared" si="21"/>
        <v>0</v>
      </c>
      <c r="T76" s="68">
        <f t="shared" si="22"/>
        <v>0</v>
      </c>
      <c r="U76" s="42"/>
      <c r="V76" s="62">
        <f t="shared" si="23"/>
        <v>0</v>
      </c>
    </row>
    <row r="77" spans="2:22" ht="30" customHeight="1" x14ac:dyDescent="0.15">
      <c r="B77" s="64">
        <v>72</v>
      </c>
      <c r="C77" s="49"/>
      <c r="D77" s="57"/>
      <c r="E77" s="38"/>
      <c r="F77" s="41"/>
      <c r="G77" s="42"/>
      <c r="H77" s="42"/>
      <c r="I77" s="61">
        <f t="shared" si="17"/>
        <v>0</v>
      </c>
      <c r="J77" s="45"/>
      <c r="K77" s="66">
        <f t="shared" si="24"/>
        <v>0</v>
      </c>
      <c r="L77" s="42"/>
      <c r="M77" s="61">
        <f t="shared" si="18"/>
        <v>0</v>
      </c>
      <c r="N77" s="70"/>
      <c r="O77" s="153">
        <f t="shared" si="25"/>
        <v>0</v>
      </c>
      <c r="P77" s="66">
        <f t="shared" si="19"/>
        <v>0</v>
      </c>
      <c r="Q77" s="42"/>
      <c r="R77" s="62">
        <f t="shared" si="20"/>
        <v>0</v>
      </c>
      <c r="S77" s="68">
        <f t="shared" si="21"/>
        <v>0</v>
      </c>
      <c r="T77" s="68">
        <f t="shared" si="22"/>
        <v>0</v>
      </c>
      <c r="U77" s="42"/>
      <c r="V77" s="62">
        <f t="shared" si="23"/>
        <v>0</v>
      </c>
    </row>
    <row r="78" spans="2:22" ht="30" customHeight="1" x14ac:dyDescent="0.15">
      <c r="B78" s="64">
        <v>73</v>
      </c>
      <c r="C78" s="49"/>
      <c r="D78" s="57"/>
      <c r="E78" s="38"/>
      <c r="F78" s="41"/>
      <c r="G78" s="42"/>
      <c r="H78" s="42"/>
      <c r="I78" s="61">
        <f t="shared" si="17"/>
        <v>0</v>
      </c>
      <c r="J78" s="45"/>
      <c r="K78" s="66">
        <f t="shared" si="24"/>
        <v>0</v>
      </c>
      <c r="L78" s="42"/>
      <c r="M78" s="61">
        <f t="shared" si="18"/>
        <v>0</v>
      </c>
      <c r="N78" s="70"/>
      <c r="O78" s="153">
        <f t="shared" si="25"/>
        <v>0</v>
      </c>
      <c r="P78" s="66">
        <f t="shared" si="19"/>
        <v>0</v>
      </c>
      <c r="Q78" s="42"/>
      <c r="R78" s="62">
        <f t="shared" si="20"/>
        <v>0</v>
      </c>
      <c r="S78" s="68">
        <f t="shared" si="21"/>
        <v>0</v>
      </c>
      <c r="T78" s="68">
        <f t="shared" si="22"/>
        <v>0</v>
      </c>
      <c r="U78" s="42"/>
      <c r="V78" s="62">
        <f t="shared" si="23"/>
        <v>0</v>
      </c>
    </row>
    <row r="79" spans="2:22" ht="30" customHeight="1" x14ac:dyDescent="0.15">
      <c r="B79" s="64">
        <v>74</v>
      </c>
      <c r="C79" s="49"/>
      <c r="D79" s="57"/>
      <c r="E79" s="38"/>
      <c r="F79" s="41"/>
      <c r="G79" s="42"/>
      <c r="H79" s="42"/>
      <c r="I79" s="61">
        <f t="shared" si="17"/>
        <v>0</v>
      </c>
      <c r="J79" s="45"/>
      <c r="K79" s="66">
        <f t="shared" si="24"/>
        <v>0</v>
      </c>
      <c r="L79" s="42"/>
      <c r="M79" s="61">
        <f t="shared" si="18"/>
        <v>0</v>
      </c>
      <c r="N79" s="70"/>
      <c r="O79" s="153">
        <f t="shared" si="25"/>
        <v>0</v>
      </c>
      <c r="P79" s="66">
        <f t="shared" si="19"/>
        <v>0</v>
      </c>
      <c r="Q79" s="42"/>
      <c r="R79" s="62">
        <f t="shared" si="20"/>
        <v>0</v>
      </c>
      <c r="S79" s="68">
        <f t="shared" si="21"/>
        <v>0</v>
      </c>
      <c r="T79" s="68">
        <f t="shared" si="22"/>
        <v>0</v>
      </c>
      <c r="U79" s="42"/>
      <c r="V79" s="62">
        <f t="shared" si="23"/>
        <v>0</v>
      </c>
    </row>
    <row r="80" spans="2:22" ht="30" customHeight="1" x14ac:dyDescent="0.15">
      <c r="B80" s="64">
        <v>75</v>
      </c>
      <c r="C80" s="49"/>
      <c r="D80" s="57"/>
      <c r="E80" s="38"/>
      <c r="F80" s="41"/>
      <c r="G80" s="42"/>
      <c r="H80" s="42"/>
      <c r="I80" s="61">
        <f t="shared" si="17"/>
        <v>0</v>
      </c>
      <c r="J80" s="45"/>
      <c r="K80" s="66">
        <f t="shared" si="24"/>
        <v>0</v>
      </c>
      <c r="L80" s="42"/>
      <c r="M80" s="61">
        <f t="shared" si="18"/>
        <v>0</v>
      </c>
      <c r="N80" s="70"/>
      <c r="O80" s="153">
        <f t="shared" si="25"/>
        <v>0</v>
      </c>
      <c r="P80" s="66">
        <f t="shared" si="19"/>
        <v>0</v>
      </c>
      <c r="Q80" s="42"/>
      <c r="R80" s="62">
        <f t="shared" si="20"/>
        <v>0</v>
      </c>
      <c r="S80" s="68">
        <f t="shared" si="21"/>
        <v>0</v>
      </c>
      <c r="T80" s="68">
        <f t="shared" si="22"/>
        <v>0</v>
      </c>
      <c r="U80" s="42"/>
      <c r="V80" s="62">
        <f t="shared" si="23"/>
        <v>0</v>
      </c>
    </row>
    <row r="81" spans="2:22" ht="30" customHeight="1" x14ac:dyDescent="0.15">
      <c r="B81" s="64">
        <v>76</v>
      </c>
      <c r="C81" s="49"/>
      <c r="D81" s="57"/>
      <c r="E81" s="38"/>
      <c r="F81" s="41"/>
      <c r="G81" s="42"/>
      <c r="H81" s="42"/>
      <c r="I81" s="61">
        <f t="shared" si="17"/>
        <v>0</v>
      </c>
      <c r="J81" s="45"/>
      <c r="K81" s="66">
        <f t="shared" si="24"/>
        <v>0</v>
      </c>
      <c r="L81" s="42"/>
      <c r="M81" s="61">
        <f t="shared" si="18"/>
        <v>0</v>
      </c>
      <c r="N81" s="70"/>
      <c r="O81" s="153">
        <f t="shared" si="25"/>
        <v>0</v>
      </c>
      <c r="P81" s="66">
        <f t="shared" si="19"/>
        <v>0</v>
      </c>
      <c r="Q81" s="42"/>
      <c r="R81" s="62">
        <f t="shared" si="20"/>
        <v>0</v>
      </c>
      <c r="S81" s="68">
        <f t="shared" si="21"/>
        <v>0</v>
      </c>
      <c r="T81" s="68">
        <f t="shared" si="22"/>
        <v>0</v>
      </c>
      <c r="U81" s="42"/>
      <c r="V81" s="62">
        <f t="shared" si="23"/>
        <v>0</v>
      </c>
    </row>
    <row r="82" spans="2:22" ht="30" customHeight="1" x14ac:dyDescent="0.15">
      <c r="B82" s="64">
        <v>77</v>
      </c>
      <c r="C82" s="49"/>
      <c r="D82" s="57"/>
      <c r="E82" s="38"/>
      <c r="F82" s="41"/>
      <c r="G82" s="42"/>
      <c r="H82" s="42"/>
      <c r="I82" s="61">
        <f t="shared" si="17"/>
        <v>0</v>
      </c>
      <c r="J82" s="45"/>
      <c r="K82" s="66">
        <f t="shared" si="24"/>
        <v>0</v>
      </c>
      <c r="L82" s="42"/>
      <c r="M82" s="61">
        <f t="shared" si="18"/>
        <v>0</v>
      </c>
      <c r="N82" s="70"/>
      <c r="O82" s="153">
        <f t="shared" si="25"/>
        <v>0</v>
      </c>
      <c r="P82" s="66">
        <f t="shared" si="19"/>
        <v>0</v>
      </c>
      <c r="Q82" s="42"/>
      <c r="R82" s="62">
        <f t="shared" si="20"/>
        <v>0</v>
      </c>
      <c r="S82" s="68">
        <f t="shared" si="21"/>
        <v>0</v>
      </c>
      <c r="T82" s="68">
        <f t="shared" si="22"/>
        <v>0</v>
      </c>
      <c r="U82" s="42"/>
      <c r="V82" s="62">
        <f t="shared" si="23"/>
        <v>0</v>
      </c>
    </row>
    <row r="83" spans="2:22" ht="30" customHeight="1" x14ac:dyDescent="0.15">
      <c r="B83" s="64">
        <v>78</v>
      </c>
      <c r="C83" s="49"/>
      <c r="D83" s="57"/>
      <c r="E83" s="38"/>
      <c r="F83" s="41"/>
      <c r="G83" s="42"/>
      <c r="H83" s="42"/>
      <c r="I83" s="61">
        <f t="shared" si="17"/>
        <v>0</v>
      </c>
      <c r="J83" s="45"/>
      <c r="K83" s="66">
        <f t="shared" si="24"/>
        <v>0</v>
      </c>
      <c r="L83" s="42"/>
      <c r="M83" s="61">
        <f t="shared" si="18"/>
        <v>0</v>
      </c>
      <c r="N83" s="70"/>
      <c r="O83" s="153">
        <f t="shared" si="25"/>
        <v>0</v>
      </c>
      <c r="P83" s="66">
        <f t="shared" si="19"/>
        <v>0</v>
      </c>
      <c r="Q83" s="42"/>
      <c r="R83" s="62">
        <f t="shared" si="20"/>
        <v>0</v>
      </c>
      <c r="S83" s="68">
        <f t="shared" si="21"/>
        <v>0</v>
      </c>
      <c r="T83" s="68">
        <f t="shared" si="22"/>
        <v>0</v>
      </c>
      <c r="U83" s="42"/>
      <c r="V83" s="62">
        <f t="shared" si="23"/>
        <v>0</v>
      </c>
    </row>
    <row r="84" spans="2:22" ht="30" customHeight="1" x14ac:dyDescent="0.15">
      <c r="B84" s="64">
        <v>79</v>
      </c>
      <c r="C84" s="49"/>
      <c r="D84" s="57"/>
      <c r="E84" s="38"/>
      <c r="F84" s="41"/>
      <c r="G84" s="42"/>
      <c r="H84" s="42"/>
      <c r="I84" s="61">
        <f t="shared" si="17"/>
        <v>0</v>
      </c>
      <c r="J84" s="45"/>
      <c r="K84" s="66">
        <f t="shared" si="24"/>
        <v>0</v>
      </c>
      <c r="L84" s="42"/>
      <c r="M84" s="61">
        <f t="shared" si="18"/>
        <v>0</v>
      </c>
      <c r="N84" s="70"/>
      <c r="O84" s="153">
        <f t="shared" si="25"/>
        <v>0</v>
      </c>
      <c r="P84" s="66">
        <f t="shared" si="19"/>
        <v>0</v>
      </c>
      <c r="Q84" s="42"/>
      <c r="R84" s="62">
        <f t="shared" si="20"/>
        <v>0</v>
      </c>
      <c r="S84" s="68">
        <f t="shared" si="21"/>
        <v>0</v>
      </c>
      <c r="T84" s="68">
        <f t="shared" si="22"/>
        <v>0</v>
      </c>
      <c r="U84" s="42"/>
      <c r="V84" s="62">
        <f t="shared" si="23"/>
        <v>0</v>
      </c>
    </row>
    <row r="85" spans="2:22" ht="30" customHeight="1" x14ac:dyDescent="0.15">
      <c r="B85" s="64">
        <v>80</v>
      </c>
      <c r="C85" s="49"/>
      <c r="D85" s="57"/>
      <c r="E85" s="38"/>
      <c r="F85" s="41"/>
      <c r="G85" s="42"/>
      <c r="H85" s="42"/>
      <c r="I85" s="61">
        <f t="shared" si="17"/>
        <v>0</v>
      </c>
      <c r="J85" s="45"/>
      <c r="K85" s="66">
        <f t="shared" si="24"/>
        <v>0</v>
      </c>
      <c r="L85" s="42"/>
      <c r="M85" s="61">
        <f t="shared" si="18"/>
        <v>0</v>
      </c>
      <c r="N85" s="70"/>
      <c r="O85" s="153">
        <f t="shared" si="25"/>
        <v>0</v>
      </c>
      <c r="P85" s="66">
        <f t="shared" si="19"/>
        <v>0</v>
      </c>
      <c r="Q85" s="42"/>
      <c r="R85" s="62">
        <f t="shared" si="20"/>
        <v>0</v>
      </c>
      <c r="S85" s="68">
        <f t="shared" si="21"/>
        <v>0</v>
      </c>
      <c r="T85" s="68">
        <f t="shared" si="22"/>
        <v>0</v>
      </c>
      <c r="U85" s="42"/>
      <c r="V85" s="62">
        <f t="shared" si="23"/>
        <v>0</v>
      </c>
    </row>
    <row r="86" spans="2:22" ht="30" customHeight="1" x14ac:dyDescent="0.15">
      <c r="B86" s="64">
        <v>81</v>
      </c>
      <c r="C86" s="49"/>
      <c r="D86" s="57"/>
      <c r="E86" s="38"/>
      <c r="F86" s="41"/>
      <c r="G86" s="42"/>
      <c r="H86" s="42"/>
      <c r="I86" s="61">
        <f t="shared" si="17"/>
        <v>0</v>
      </c>
      <c r="J86" s="45"/>
      <c r="K86" s="66">
        <f t="shared" si="24"/>
        <v>0</v>
      </c>
      <c r="L86" s="42"/>
      <c r="M86" s="61">
        <f t="shared" si="18"/>
        <v>0</v>
      </c>
      <c r="N86" s="70"/>
      <c r="O86" s="153">
        <f t="shared" si="25"/>
        <v>0</v>
      </c>
      <c r="P86" s="66">
        <f t="shared" si="19"/>
        <v>0</v>
      </c>
      <c r="Q86" s="42"/>
      <c r="R86" s="62">
        <f t="shared" si="20"/>
        <v>0</v>
      </c>
      <c r="S86" s="68">
        <f t="shared" si="21"/>
        <v>0</v>
      </c>
      <c r="T86" s="68">
        <f t="shared" si="22"/>
        <v>0</v>
      </c>
      <c r="U86" s="42"/>
      <c r="V86" s="62">
        <f t="shared" si="23"/>
        <v>0</v>
      </c>
    </row>
    <row r="87" spans="2:22" ht="30" customHeight="1" x14ac:dyDescent="0.15">
      <c r="B87" s="64">
        <v>82</v>
      </c>
      <c r="C87" s="49"/>
      <c r="D87" s="57"/>
      <c r="E87" s="38"/>
      <c r="F87" s="41"/>
      <c r="G87" s="42"/>
      <c r="H87" s="42"/>
      <c r="I87" s="61">
        <f t="shared" si="17"/>
        <v>0</v>
      </c>
      <c r="J87" s="45"/>
      <c r="K87" s="66">
        <f t="shared" si="24"/>
        <v>0</v>
      </c>
      <c r="L87" s="42"/>
      <c r="M87" s="61">
        <f t="shared" si="18"/>
        <v>0</v>
      </c>
      <c r="N87" s="70"/>
      <c r="O87" s="153">
        <f t="shared" si="25"/>
        <v>0</v>
      </c>
      <c r="P87" s="66">
        <f t="shared" si="19"/>
        <v>0</v>
      </c>
      <c r="Q87" s="42"/>
      <c r="R87" s="62">
        <f t="shared" si="20"/>
        <v>0</v>
      </c>
      <c r="S87" s="68">
        <f t="shared" si="21"/>
        <v>0</v>
      </c>
      <c r="T87" s="68">
        <f t="shared" si="22"/>
        <v>0</v>
      </c>
      <c r="U87" s="42"/>
      <c r="V87" s="62">
        <f t="shared" si="23"/>
        <v>0</v>
      </c>
    </row>
    <row r="88" spans="2:22" ht="30" customHeight="1" x14ac:dyDescent="0.15">
      <c r="B88" s="64">
        <v>83</v>
      </c>
      <c r="C88" s="49"/>
      <c r="D88" s="57"/>
      <c r="E88" s="38"/>
      <c r="F88" s="41"/>
      <c r="G88" s="42"/>
      <c r="H88" s="42"/>
      <c r="I88" s="61">
        <f t="shared" si="17"/>
        <v>0</v>
      </c>
      <c r="J88" s="45"/>
      <c r="K88" s="66">
        <f t="shared" si="24"/>
        <v>0</v>
      </c>
      <c r="L88" s="42"/>
      <c r="M88" s="61">
        <f t="shared" si="18"/>
        <v>0</v>
      </c>
      <c r="N88" s="70"/>
      <c r="O88" s="153">
        <f t="shared" si="25"/>
        <v>0</v>
      </c>
      <c r="P88" s="66">
        <f t="shared" si="19"/>
        <v>0</v>
      </c>
      <c r="Q88" s="42"/>
      <c r="R88" s="62">
        <f t="shared" si="20"/>
        <v>0</v>
      </c>
      <c r="S88" s="68">
        <f t="shared" si="21"/>
        <v>0</v>
      </c>
      <c r="T88" s="68">
        <f t="shared" si="22"/>
        <v>0</v>
      </c>
      <c r="U88" s="42"/>
      <c r="V88" s="62">
        <f t="shared" si="23"/>
        <v>0</v>
      </c>
    </row>
    <row r="89" spans="2:22" ht="30" customHeight="1" x14ac:dyDescent="0.15">
      <c r="B89" s="64">
        <v>84</v>
      </c>
      <c r="C89" s="49"/>
      <c r="D89" s="57"/>
      <c r="E89" s="38"/>
      <c r="F89" s="41"/>
      <c r="G89" s="42"/>
      <c r="H89" s="42"/>
      <c r="I89" s="61">
        <f t="shared" si="17"/>
        <v>0</v>
      </c>
      <c r="J89" s="45"/>
      <c r="K89" s="66">
        <f t="shared" si="24"/>
        <v>0</v>
      </c>
      <c r="L89" s="42"/>
      <c r="M89" s="61">
        <f t="shared" si="18"/>
        <v>0</v>
      </c>
      <c r="N89" s="70"/>
      <c r="O89" s="153">
        <f t="shared" si="25"/>
        <v>0</v>
      </c>
      <c r="P89" s="66">
        <f t="shared" si="19"/>
        <v>0</v>
      </c>
      <c r="Q89" s="42"/>
      <c r="R89" s="62">
        <f t="shared" si="20"/>
        <v>0</v>
      </c>
      <c r="S89" s="68">
        <f t="shared" si="21"/>
        <v>0</v>
      </c>
      <c r="T89" s="68">
        <f t="shared" si="22"/>
        <v>0</v>
      </c>
      <c r="U89" s="42"/>
      <c r="V89" s="62">
        <f t="shared" si="23"/>
        <v>0</v>
      </c>
    </row>
    <row r="90" spans="2:22" ht="30" customHeight="1" x14ac:dyDescent="0.15">
      <c r="B90" s="64">
        <v>85</v>
      </c>
      <c r="C90" s="49"/>
      <c r="D90" s="57"/>
      <c r="E90" s="38"/>
      <c r="F90" s="41"/>
      <c r="G90" s="42"/>
      <c r="H90" s="42"/>
      <c r="I90" s="61">
        <f t="shared" si="17"/>
        <v>0</v>
      </c>
      <c r="J90" s="45"/>
      <c r="K90" s="66">
        <f t="shared" si="24"/>
        <v>0</v>
      </c>
      <c r="L90" s="42"/>
      <c r="M90" s="61">
        <f t="shared" si="18"/>
        <v>0</v>
      </c>
      <c r="N90" s="70"/>
      <c r="O90" s="153">
        <f t="shared" si="25"/>
        <v>0</v>
      </c>
      <c r="P90" s="66">
        <f t="shared" si="19"/>
        <v>0</v>
      </c>
      <c r="Q90" s="42"/>
      <c r="R90" s="62">
        <f t="shared" si="20"/>
        <v>0</v>
      </c>
      <c r="S90" s="68">
        <f t="shared" si="21"/>
        <v>0</v>
      </c>
      <c r="T90" s="68">
        <f t="shared" si="22"/>
        <v>0</v>
      </c>
      <c r="U90" s="42"/>
      <c r="V90" s="62">
        <f t="shared" si="23"/>
        <v>0</v>
      </c>
    </row>
    <row r="91" spans="2:22" ht="30" customHeight="1" x14ac:dyDescent="0.15">
      <c r="B91" s="64">
        <v>86</v>
      </c>
      <c r="C91" s="49"/>
      <c r="D91" s="57"/>
      <c r="E91" s="38"/>
      <c r="F91" s="41"/>
      <c r="G91" s="42"/>
      <c r="H91" s="42"/>
      <c r="I91" s="61">
        <f t="shared" si="17"/>
        <v>0</v>
      </c>
      <c r="J91" s="45"/>
      <c r="K91" s="66">
        <f t="shared" si="24"/>
        <v>0</v>
      </c>
      <c r="L91" s="42"/>
      <c r="M91" s="61">
        <f t="shared" si="18"/>
        <v>0</v>
      </c>
      <c r="N91" s="70"/>
      <c r="O91" s="153">
        <f t="shared" si="25"/>
        <v>0</v>
      </c>
      <c r="P91" s="66">
        <f t="shared" si="19"/>
        <v>0</v>
      </c>
      <c r="Q91" s="42"/>
      <c r="R91" s="62">
        <f t="shared" si="20"/>
        <v>0</v>
      </c>
      <c r="S91" s="68">
        <f t="shared" si="21"/>
        <v>0</v>
      </c>
      <c r="T91" s="68">
        <f t="shared" si="22"/>
        <v>0</v>
      </c>
      <c r="U91" s="42"/>
      <c r="V91" s="62">
        <f t="shared" si="23"/>
        <v>0</v>
      </c>
    </row>
    <row r="92" spans="2:22" ht="30" customHeight="1" x14ac:dyDescent="0.15">
      <c r="B92" s="64">
        <v>87</v>
      </c>
      <c r="C92" s="49"/>
      <c r="D92" s="57"/>
      <c r="E92" s="38"/>
      <c r="F92" s="41"/>
      <c r="G92" s="42"/>
      <c r="H92" s="42"/>
      <c r="I92" s="61">
        <f t="shared" si="17"/>
        <v>0</v>
      </c>
      <c r="J92" s="45"/>
      <c r="K92" s="66">
        <f t="shared" si="24"/>
        <v>0</v>
      </c>
      <c r="L92" s="42"/>
      <c r="M92" s="61">
        <f t="shared" si="18"/>
        <v>0</v>
      </c>
      <c r="N92" s="70"/>
      <c r="O92" s="153">
        <f t="shared" si="25"/>
        <v>0</v>
      </c>
      <c r="P92" s="66">
        <f t="shared" si="19"/>
        <v>0</v>
      </c>
      <c r="Q92" s="42"/>
      <c r="R92" s="62">
        <f t="shared" si="20"/>
        <v>0</v>
      </c>
      <c r="S92" s="68">
        <f t="shared" si="21"/>
        <v>0</v>
      </c>
      <c r="T92" s="68">
        <f t="shared" si="22"/>
        <v>0</v>
      </c>
      <c r="U92" s="42"/>
      <c r="V92" s="62">
        <f t="shared" si="23"/>
        <v>0</v>
      </c>
    </row>
    <row r="93" spans="2:22" ht="30" customHeight="1" x14ac:dyDescent="0.15">
      <c r="B93" s="64">
        <v>88</v>
      </c>
      <c r="C93" s="49"/>
      <c r="D93" s="57"/>
      <c r="E93" s="38"/>
      <c r="F93" s="41"/>
      <c r="G93" s="42"/>
      <c r="H93" s="42"/>
      <c r="I93" s="61">
        <f t="shared" si="17"/>
        <v>0</v>
      </c>
      <c r="J93" s="45"/>
      <c r="K93" s="66">
        <f t="shared" si="24"/>
        <v>0</v>
      </c>
      <c r="L93" s="42"/>
      <c r="M93" s="61">
        <f t="shared" si="18"/>
        <v>0</v>
      </c>
      <c r="N93" s="70"/>
      <c r="O93" s="153">
        <f t="shared" si="25"/>
        <v>0</v>
      </c>
      <c r="P93" s="66">
        <f t="shared" si="19"/>
        <v>0</v>
      </c>
      <c r="Q93" s="42"/>
      <c r="R93" s="62">
        <f t="shared" si="20"/>
        <v>0</v>
      </c>
      <c r="S93" s="68">
        <f t="shared" si="21"/>
        <v>0</v>
      </c>
      <c r="T93" s="68">
        <f t="shared" si="22"/>
        <v>0</v>
      </c>
      <c r="U93" s="42"/>
      <c r="V93" s="62">
        <f t="shared" si="23"/>
        <v>0</v>
      </c>
    </row>
    <row r="94" spans="2:22" ht="30" customHeight="1" x14ac:dyDescent="0.15">
      <c r="B94" s="64">
        <v>89</v>
      </c>
      <c r="C94" s="49"/>
      <c r="D94" s="57"/>
      <c r="E94" s="38"/>
      <c r="F94" s="41"/>
      <c r="G94" s="42"/>
      <c r="H94" s="42"/>
      <c r="I94" s="61">
        <f t="shared" si="17"/>
        <v>0</v>
      </c>
      <c r="J94" s="45"/>
      <c r="K94" s="66">
        <f t="shared" si="24"/>
        <v>0</v>
      </c>
      <c r="L94" s="42"/>
      <c r="M94" s="61">
        <f t="shared" si="18"/>
        <v>0</v>
      </c>
      <c r="N94" s="70"/>
      <c r="O94" s="153">
        <f t="shared" si="25"/>
        <v>0</v>
      </c>
      <c r="P94" s="66">
        <f t="shared" si="19"/>
        <v>0</v>
      </c>
      <c r="Q94" s="42"/>
      <c r="R94" s="62">
        <f t="shared" si="20"/>
        <v>0</v>
      </c>
      <c r="S94" s="68">
        <f t="shared" si="21"/>
        <v>0</v>
      </c>
      <c r="T94" s="68">
        <f t="shared" si="22"/>
        <v>0</v>
      </c>
      <c r="U94" s="42"/>
      <c r="V94" s="62">
        <f t="shared" si="23"/>
        <v>0</v>
      </c>
    </row>
    <row r="95" spans="2:22" ht="30" customHeight="1" x14ac:dyDescent="0.15">
      <c r="B95" s="64">
        <v>90</v>
      </c>
      <c r="C95" s="49"/>
      <c r="D95" s="57"/>
      <c r="E95" s="38"/>
      <c r="F95" s="41"/>
      <c r="G95" s="42"/>
      <c r="H95" s="42"/>
      <c r="I95" s="61">
        <f t="shared" si="17"/>
        <v>0</v>
      </c>
      <c r="J95" s="45"/>
      <c r="K95" s="66">
        <f t="shared" si="24"/>
        <v>0</v>
      </c>
      <c r="L95" s="42"/>
      <c r="M95" s="61">
        <f t="shared" si="18"/>
        <v>0</v>
      </c>
      <c r="N95" s="70"/>
      <c r="O95" s="153">
        <f t="shared" si="25"/>
        <v>0</v>
      </c>
      <c r="P95" s="66">
        <f t="shared" si="19"/>
        <v>0</v>
      </c>
      <c r="Q95" s="42"/>
      <c r="R95" s="62">
        <f t="shared" si="20"/>
        <v>0</v>
      </c>
      <c r="S95" s="68">
        <f t="shared" si="21"/>
        <v>0</v>
      </c>
      <c r="T95" s="68">
        <f t="shared" si="22"/>
        <v>0</v>
      </c>
      <c r="U95" s="42"/>
      <c r="V95" s="62">
        <f t="shared" si="23"/>
        <v>0</v>
      </c>
    </row>
    <row r="96" spans="2:22" ht="30" customHeight="1" x14ac:dyDescent="0.15">
      <c r="B96" s="64">
        <v>91</v>
      </c>
      <c r="C96" s="49"/>
      <c r="D96" s="57"/>
      <c r="E96" s="38"/>
      <c r="F96" s="41"/>
      <c r="G96" s="42"/>
      <c r="H96" s="42"/>
      <c r="I96" s="61">
        <f t="shared" si="17"/>
        <v>0</v>
      </c>
      <c r="J96" s="45"/>
      <c r="K96" s="66">
        <f t="shared" si="24"/>
        <v>0</v>
      </c>
      <c r="L96" s="42"/>
      <c r="M96" s="61">
        <f t="shared" si="18"/>
        <v>0</v>
      </c>
      <c r="N96" s="70"/>
      <c r="O96" s="153">
        <f t="shared" si="25"/>
        <v>0</v>
      </c>
      <c r="P96" s="66">
        <f t="shared" si="19"/>
        <v>0</v>
      </c>
      <c r="Q96" s="42"/>
      <c r="R96" s="62">
        <f t="shared" si="20"/>
        <v>0</v>
      </c>
      <c r="S96" s="68">
        <f t="shared" si="21"/>
        <v>0</v>
      </c>
      <c r="T96" s="68">
        <f t="shared" si="22"/>
        <v>0</v>
      </c>
      <c r="U96" s="42"/>
      <c r="V96" s="62">
        <f t="shared" si="23"/>
        <v>0</v>
      </c>
    </row>
    <row r="97" spans="2:22" ht="30" customHeight="1" x14ac:dyDescent="0.15">
      <c r="B97" s="64">
        <v>92</v>
      </c>
      <c r="C97" s="49"/>
      <c r="D97" s="57"/>
      <c r="E97" s="38"/>
      <c r="F97" s="41"/>
      <c r="G97" s="42"/>
      <c r="H97" s="42"/>
      <c r="I97" s="61">
        <f t="shared" si="17"/>
        <v>0</v>
      </c>
      <c r="J97" s="45"/>
      <c r="K97" s="66">
        <f t="shared" si="24"/>
        <v>0</v>
      </c>
      <c r="L97" s="42"/>
      <c r="M97" s="61">
        <f t="shared" si="18"/>
        <v>0</v>
      </c>
      <c r="N97" s="70"/>
      <c r="O97" s="153">
        <f t="shared" si="25"/>
        <v>0</v>
      </c>
      <c r="P97" s="66">
        <f t="shared" si="19"/>
        <v>0</v>
      </c>
      <c r="Q97" s="42"/>
      <c r="R97" s="62">
        <f t="shared" si="20"/>
        <v>0</v>
      </c>
      <c r="S97" s="68">
        <f t="shared" si="21"/>
        <v>0</v>
      </c>
      <c r="T97" s="68">
        <f t="shared" si="22"/>
        <v>0</v>
      </c>
      <c r="U97" s="42"/>
      <c r="V97" s="62">
        <f t="shared" si="23"/>
        <v>0</v>
      </c>
    </row>
    <row r="98" spans="2:22" ht="30" customHeight="1" x14ac:dyDescent="0.15">
      <c r="B98" s="64">
        <v>93</v>
      </c>
      <c r="C98" s="49"/>
      <c r="D98" s="57"/>
      <c r="E98" s="38"/>
      <c r="F98" s="41"/>
      <c r="G98" s="42"/>
      <c r="H98" s="42"/>
      <c r="I98" s="61">
        <f t="shared" si="17"/>
        <v>0</v>
      </c>
      <c r="J98" s="45"/>
      <c r="K98" s="66">
        <f t="shared" si="24"/>
        <v>0</v>
      </c>
      <c r="L98" s="42"/>
      <c r="M98" s="61">
        <f t="shared" si="18"/>
        <v>0</v>
      </c>
      <c r="N98" s="70"/>
      <c r="O98" s="153">
        <f t="shared" si="25"/>
        <v>0</v>
      </c>
      <c r="P98" s="66">
        <f t="shared" si="19"/>
        <v>0</v>
      </c>
      <c r="Q98" s="42"/>
      <c r="R98" s="62">
        <f t="shared" si="20"/>
        <v>0</v>
      </c>
      <c r="S98" s="68">
        <f t="shared" si="21"/>
        <v>0</v>
      </c>
      <c r="T98" s="68">
        <f t="shared" si="22"/>
        <v>0</v>
      </c>
      <c r="U98" s="42"/>
      <c r="V98" s="62">
        <f t="shared" si="23"/>
        <v>0</v>
      </c>
    </row>
    <row r="99" spans="2:22" ht="30" customHeight="1" x14ac:dyDescent="0.15">
      <c r="B99" s="64">
        <v>94</v>
      </c>
      <c r="C99" s="49"/>
      <c r="D99" s="57"/>
      <c r="E99" s="38"/>
      <c r="F99" s="41"/>
      <c r="G99" s="42"/>
      <c r="H99" s="42"/>
      <c r="I99" s="61">
        <f t="shared" si="17"/>
        <v>0</v>
      </c>
      <c r="J99" s="45"/>
      <c r="K99" s="66">
        <f t="shared" si="24"/>
        <v>0</v>
      </c>
      <c r="L99" s="42"/>
      <c r="M99" s="61">
        <f t="shared" si="18"/>
        <v>0</v>
      </c>
      <c r="N99" s="70"/>
      <c r="O99" s="153">
        <f t="shared" si="25"/>
        <v>0</v>
      </c>
      <c r="P99" s="66">
        <f t="shared" si="19"/>
        <v>0</v>
      </c>
      <c r="Q99" s="42"/>
      <c r="R99" s="62">
        <f t="shared" si="20"/>
        <v>0</v>
      </c>
      <c r="S99" s="68">
        <f t="shared" si="21"/>
        <v>0</v>
      </c>
      <c r="T99" s="68">
        <f t="shared" si="22"/>
        <v>0</v>
      </c>
      <c r="U99" s="42"/>
      <c r="V99" s="62">
        <f t="shared" si="23"/>
        <v>0</v>
      </c>
    </row>
    <row r="100" spans="2:22" ht="30" customHeight="1" x14ac:dyDescent="0.15">
      <c r="B100" s="64">
        <v>95</v>
      </c>
      <c r="C100" s="49"/>
      <c r="D100" s="57"/>
      <c r="E100" s="38"/>
      <c r="F100" s="41"/>
      <c r="G100" s="42"/>
      <c r="H100" s="42"/>
      <c r="I100" s="61">
        <f t="shared" si="17"/>
        <v>0</v>
      </c>
      <c r="J100" s="45"/>
      <c r="K100" s="66">
        <f t="shared" si="24"/>
        <v>0</v>
      </c>
      <c r="L100" s="42"/>
      <c r="M100" s="61">
        <f t="shared" si="18"/>
        <v>0</v>
      </c>
      <c r="N100" s="70"/>
      <c r="O100" s="153">
        <f t="shared" si="25"/>
        <v>0</v>
      </c>
      <c r="P100" s="66">
        <f t="shared" si="19"/>
        <v>0</v>
      </c>
      <c r="Q100" s="42"/>
      <c r="R100" s="62">
        <f t="shared" si="20"/>
        <v>0</v>
      </c>
      <c r="S100" s="68">
        <f t="shared" si="21"/>
        <v>0</v>
      </c>
      <c r="T100" s="68">
        <f t="shared" si="22"/>
        <v>0</v>
      </c>
      <c r="U100" s="42"/>
      <c r="V100" s="62">
        <f t="shared" si="23"/>
        <v>0</v>
      </c>
    </row>
    <row r="101" spans="2:22" ht="30" customHeight="1" x14ac:dyDescent="0.15">
      <c r="B101" s="64">
        <v>96</v>
      </c>
      <c r="C101" s="49"/>
      <c r="D101" s="57"/>
      <c r="E101" s="38"/>
      <c r="F101" s="41"/>
      <c r="G101" s="42"/>
      <c r="H101" s="42"/>
      <c r="I101" s="61">
        <f t="shared" si="17"/>
        <v>0</v>
      </c>
      <c r="J101" s="45"/>
      <c r="K101" s="66">
        <f t="shared" si="24"/>
        <v>0</v>
      </c>
      <c r="L101" s="42"/>
      <c r="M101" s="61">
        <f t="shared" si="18"/>
        <v>0</v>
      </c>
      <c r="N101" s="70"/>
      <c r="O101" s="153">
        <f t="shared" si="25"/>
        <v>0</v>
      </c>
      <c r="P101" s="66">
        <f t="shared" si="19"/>
        <v>0</v>
      </c>
      <c r="Q101" s="42"/>
      <c r="R101" s="62">
        <f t="shared" si="20"/>
        <v>0</v>
      </c>
      <c r="S101" s="68">
        <f t="shared" si="21"/>
        <v>0</v>
      </c>
      <c r="T101" s="68">
        <f t="shared" si="22"/>
        <v>0</v>
      </c>
      <c r="U101" s="42"/>
      <c r="V101" s="62">
        <f t="shared" si="23"/>
        <v>0</v>
      </c>
    </row>
    <row r="102" spans="2:22" ht="30" customHeight="1" x14ac:dyDescent="0.15">
      <c r="B102" s="64">
        <v>97</v>
      </c>
      <c r="C102" s="49"/>
      <c r="D102" s="57"/>
      <c r="E102" s="38"/>
      <c r="F102" s="41"/>
      <c r="G102" s="42"/>
      <c r="H102" s="42"/>
      <c r="I102" s="61">
        <f t="shared" si="17"/>
        <v>0</v>
      </c>
      <c r="J102" s="45"/>
      <c r="K102" s="66">
        <f t="shared" si="24"/>
        <v>0</v>
      </c>
      <c r="L102" s="42"/>
      <c r="M102" s="61">
        <f t="shared" ref="M102:M105" si="26">J102*K102*L102</f>
        <v>0</v>
      </c>
      <c r="N102" s="70"/>
      <c r="O102" s="153">
        <f t="shared" si="25"/>
        <v>0</v>
      </c>
      <c r="P102" s="66">
        <f t="shared" si="19"/>
        <v>0</v>
      </c>
      <c r="Q102" s="42"/>
      <c r="R102" s="62">
        <f t="shared" ref="R102:R105" si="27">O102*P102*Q102</f>
        <v>0</v>
      </c>
      <c r="S102" s="68">
        <f t="shared" si="21"/>
        <v>0</v>
      </c>
      <c r="T102" s="68">
        <f t="shared" si="22"/>
        <v>0</v>
      </c>
      <c r="U102" s="42"/>
      <c r="V102" s="62">
        <f t="shared" ref="V102:V105" si="28">S102*T102*U102</f>
        <v>0</v>
      </c>
    </row>
    <row r="103" spans="2:22" ht="30" customHeight="1" x14ac:dyDescent="0.15">
      <c r="B103" s="64">
        <v>98</v>
      </c>
      <c r="C103" s="49"/>
      <c r="D103" s="57"/>
      <c r="E103" s="38"/>
      <c r="F103" s="41"/>
      <c r="G103" s="42"/>
      <c r="H103" s="42"/>
      <c r="I103" s="61">
        <f t="shared" si="17"/>
        <v>0</v>
      </c>
      <c r="J103" s="45"/>
      <c r="K103" s="66">
        <f t="shared" si="24"/>
        <v>0</v>
      </c>
      <c r="L103" s="42"/>
      <c r="M103" s="61">
        <f t="shared" si="26"/>
        <v>0</v>
      </c>
      <c r="N103" s="70"/>
      <c r="O103" s="153">
        <f t="shared" si="25"/>
        <v>0</v>
      </c>
      <c r="P103" s="66">
        <f t="shared" si="19"/>
        <v>0</v>
      </c>
      <c r="Q103" s="42"/>
      <c r="R103" s="62">
        <f t="shared" si="27"/>
        <v>0</v>
      </c>
      <c r="S103" s="68">
        <f t="shared" si="21"/>
        <v>0</v>
      </c>
      <c r="T103" s="68">
        <f t="shared" si="22"/>
        <v>0</v>
      </c>
      <c r="U103" s="42"/>
      <c r="V103" s="62">
        <f t="shared" si="28"/>
        <v>0</v>
      </c>
    </row>
    <row r="104" spans="2:22" ht="30" customHeight="1" x14ac:dyDescent="0.15">
      <c r="B104" s="64">
        <v>99</v>
      </c>
      <c r="C104" s="49"/>
      <c r="D104" s="57"/>
      <c r="E104" s="38"/>
      <c r="F104" s="41"/>
      <c r="G104" s="42"/>
      <c r="H104" s="42"/>
      <c r="I104" s="61">
        <f t="shared" si="17"/>
        <v>0</v>
      </c>
      <c r="J104" s="45"/>
      <c r="K104" s="66">
        <f t="shared" si="24"/>
        <v>0</v>
      </c>
      <c r="L104" s="42"/>
      <c r="M104" s="61">
        <f t="shared" si="26"/>
        <v>0</v>
      </c>
      <c r="N104" s="70"/>
      <c r="O104" s="153">
        <f t="shared" si="25"/>
        <v>0</v>
      </c>
      <c r="P104" s="66">
        <f t="shared" si="19"/>
        <v>0</v>
      </c>
      <c r="Q104" s="42"/>
      <c r="R104" s="62">
        <f t="shared" si="27"/>
        <v>0</v>
      </c>
      <c r="S104" s="68">
        <f t="shared" si="21"/>
        <v>0</v>
      </c>
      <c r="T104" s="68">
        <f t="shared" si="22"/>
        <v>0</v>
      </c>
      <c r="U104" s="42"/>
      <c r="V104" s="62">
        <f t="shared" si="28"/>
        <v>0</v>
      </c>
    </row>
    <row r="105" spans="2:22" ht="30" customHeight="1" thickBot="1" x14ac:dyDescent="0.2">
      <c r="B105" s="14">
        <v>100</v>
      </c>
      <c r="C105" s="50"/>
      <c r="D105" s="58"/>
      <c r="E105" s="39"/>
      <c r="F105" s="31"/>
      <c r="G105" s="32"/>
      <c r="H105" s="32"/>
      <c r="I105" s="63">
        <f t="shared" si="17"/>
        <v>0</v>
      </c>
      <c r="J105" s="46"/>
      <c r="K105" s="67">
        <f t="shared" si="24"/>
        <v>0</v>
      </c>
      <c r="L105" s="32"/>
      <c r="M105" s="63">
        <f t="shared" si="26"/>
        <v>0</v>
      </c>
      <c r="N105" s="29"/>
      <c r="O105" s="154">
        <f t="shared" si="25"/>
        <v>0</v>
      </c>
      <c r="P105" s="67">
        <f t="shared" si="19"/>
        <v>0</v>
      </c>
      <c r="Q105" s="32"/>
      <c r="R105" s="63">
        <f t="shared" si="27"/>
        <v>0</v>
      </c>
      <c r="S105" s="67">
        <f t="shared" si="21"/>
        <v>0</v>
      </c>
      <c r="T105" s="67">
        <f t="shared" si="22"/>
        <v>0</v>
      </c>
      <c r="U105" s="32"/>
      <c r="V105" s="63">
        <f t="shared" si="28"/>
        <v>0</v>
      </c>
    </row>
    <row r="106" spans="2:22" ht="16.5" thickBot="1" x14ac:dyDescent="0.2"/>
    <row r="107" spans="2:22" ht="30" customHeight="1" x14ac:dyDescent="0.15">
      <c r="H107" s="12" t="s">
        <v>149</v>
      </c>
      <c r="I107" s="15">
        <f>SUMIF($E$6:$E$105,"壁",I$6:I$105)</f>
        <v>103.56937000000001</v>
      </c>
      <c r="L107" s="12" t="s">
        <v>149</v>
      </c>
      <c r="M107" s="15">
        <f>SUMIF($E$6:$E$105,"壁",M$6:M$105)</f>
        <v>310.31951665138325</v>
      </c>
      <c r="Q107" s="12" t="s">
        <v>149</v>
      </c>
      <c r="R107" s="15">
        <f>SUMIF($E$6:$E$105,"壁",R$6:R$105)</f>
        <v>5.8850851938102693</v>
      </c>
      <c r="U107" s="12" t="s">
        <v>149</v>
      </c>
      <c r="V107" s="15">
        <f>SUMIF($E$6:$E$105,"壁",V$6:V$105)</f>
        <v>4.3714355598381198</v>
      </c>
    </row>
    <row r="108" spans="2:22" ht="30" customHeight="1" x14ac:dyDescent="0.15">
      <c r="H108" s="12" t="s">
        <v>150</v>
      </c>
      <c r="I108" s="25">
        <f>SUMIF($E$6:$E$105,"間仕切り壁",I$6:I$105)</f>
        <v>19.343429999999998</v>
      </c>
      <c r="L108" s="12" t="s">
        <v>150</v>
      </c>
      <c r="M108" s="25">
        <f>SUMIF($E$6:$E$105,"間仕切り壁",M$6:M$105)</f>
        <v>7.9104445556846983</v>
      </c>
      <c r="Q108" s="12" t="s">
        <v>150</v>
      </c>
      <c r="R108" s="25">
        <f>SUMIF($E$6:$E$105,"間仕切り壁",R$6:R$105)</f>
        <v>0</v>
      </c>
      <c r="U108" s="12" t="s">
        <v>150</v>
      </c>
      <c r="V108" s="25">
        <f>SUMIF($E$6:$E$105,"間仕切り壁",V$6:V$105)</f>
        <v>0</v>
      </c>
    </row>
    <row r="109" spans="2:22" ht="30" customHeight="1" x14ac:dyDescent="0.15">
      <c r="H109" s="12" t="s">
        <v>151</v>
      </c>
      <c r="I109" s="25">
        <f>SUMIF($E$6:$E$105,"屋根・天井",I$6:I$105)</f>
        <v>48.741884999999996</v>
      </c>
      <c r="L109" s="12" t="s">
        <v>151</v>
      </c>
      <c r="M109" s="25">
        <f>SUMIF($E$6:$E$105,"屋根・天井",M$6:M$105)</f>
        <v>191.14464705882352</v>
      </c>
      <c r="Q109" s="12" t="s">
        <v>151</v>
      </c>
      <c r="R109" s="25">
        <f>SUMIF($E$6:$E$105,"屋根・天井",R$6:R$105)</f>
        <v>6.4989180000000006</v>
      </c>
      <c r="U109" s="12" t="s">
        <v>151</v>
      </c>
      <c r="V109" s="25">
        <f>SUMIF($E$6:$E$105,"屋根・天井",V$6:V$105)</f>
        <v>6.4989180000000006</v>
      </c>
    </row>
    <row r="110" spans="2:22" ht="30" customHeight="1" x14ac:dyDescent="0.15">
      <c r="H110" s="12" t="s">
        <v>152</v>
      </c>
      <c r="I110" s="25">
        <f>SUMIF($E$6:$E$105,"床",I$6:I$105)</f>
        <v>35.710335000000001</v>
      </c>
      <c r="L110" s="12" t="s">
        <v>152</v>
      </c>
      <c r="M110" s="25">
        <f>SUMIF($E$6:$E$105,"床",M$6:M$105)</f>
        <v>41.2600653588824</v>
      </c>
      <c r="Q110" s="12" t="s">
        <v>152</v>
      </c>
      <c r="R110" s="25">
        <f>SUMIF($E$6:$E$105,"床",R$6:R$105)</f>
        <v>0</v>
      </c>
      <c r="U110" s="12" t="s">
        <v>152</v>
      </c>
      <c r="V110" s="25">
        <f>SUMIF($E$6:$E$105,"床",V$6:V$105)</f>
        <v>0</v>
      </c>
    </row>
    <row r="111" spans="2:22" ht="30" customHeight="1" x14ac:dyDescent="0.15">
      <c r="H111" s="12" t="s">
        <v>153</v>
      </c>
      <c r="I111" s="25">
        <f>SUMIF($E$6:$E$105,"土間",I$6:I$105)</f>
        <v>13.031549999999999</v>
      </c>
      <c r="L111" s="12" t="s">
        <v>153</v>
      </c>
      <c r="M111" s="25">
        <f>SUMIF($E$6:$E$105,"土間",M$6:M$105)</f>
        <v>0</v>
      </c>
      <c r="Q111" s="12" t="s">
        <v>153</v>
      </c>
      <c r="R111" s="25">
        <f>SUMIF($E$6:$E$105,"土間",R$6:R$105)</f>
        <v>0</v>
      </c>
      <c r="U111" s="12" t="s">
        <v>153</v>
      </c>
      <c r="V111" s="25">
        <f>SUMIF($E$6:$E$105,"土間",V$6:V$105)</f>
        <v>0</v>
      </c>
    </row>
    <row r="112" spans="2:22" ht="30" customHeight="1" thickBot="1" x14ac:dyDescent="0.2">
      <c r="H112" s="12" t="s">
        <v>154</v>
      </c>
      <c r="I112" s="70">
        <f>SUMIF($E$6:$E$105,"ドア",I$6:I$105)</f>
        <v>0</v>
      </c>
      <c r="L112" s="12" t="s">
        <v>154</v>
      </c>
      <c r="M112" s="70">
        <f>SUMIF($E$6:$E$105,"ドア",M$6:M$105)</f>
        <v>0</v>
      </c>
      <c r="Q112" s="12" t="s">
        <v>154</v>
      </c>
      <c r="R112" s="70">
        <f>SUMIF($E$6:$E$105,"ドア",R$6:R$105)</f>
        <v>0</v>
      </c>
      <c r="U112" s="12" t="s">
        <v>154</v>
      </c>
      <c r="V112" s="70">
        <f>SUMIF($E$6:$E$105,"ドア",V$6:V$105)</f>
        <v>0</v>
      </c>
    </row>
    <row r="113" spans="8:22" ht="30" customHeight="1" thickBot="1" x14ac:dyDescent="0.2">
      <c r="H113" s="12" t="s">
        <v>148</v>
      </c>
      <c r="I113" s="34">
        <f>SUM(I6:I105)</f>
        <v>220.39657</v>
      </c>
      <c r="L113" s="12" t="s">
        <v>148</v>
      </c>
      <c r="M113" s="34">
        <f>SUM(M6:M105)</f>
        <v>550.63467362477377</v>
      </c>
      <c r="Q113" s="12" t="s">
        <v>148</v>
      </c>
      <c r="R113" s="34">
        <f>SUM(R6:R105)</f>
        <v>12.384003193810267</v>
      </c>
      <c r="U113" s="12" t="s">
        <v>148</v>
      </c>
      <c r="V113" s="34">
        <f>SUM(V6:V105)</f>
        <v>10.870353559838119</v>
      </c>
    </row>
  </sheetData>
  <mergeCells count="9">
    <mergeCell ref="O3:R3"/>
    <mergeCell ref="S3:V3"/>
    <mergeCell ref="F3:I3"/>
    <mergeCell ref="J3:M3"/>
    <mergeCell ref="B4:B5"/>
    <mergeCell ref="E4:E5"/>
    <mergeCell ref="B3:E3"/>
    <mergeCell ref="C4:C5"/>
    <mergeCell ref="D4:D5"/>
  </mergeCells>
  <phoneticPr fontId="2"/>
  <dataValidations count="2">
    <dataValidation type="list" allowBlank="1" showInputMessage="1" showErrorMessage="1" sqref="E6:E105">
      <formula1>"壁,間仕切り壁,屋根・天井,床,土間,ドア"</formula1>
    </dataValidation>
    <dataValidation type="list" allowBlank="1" showInputMessage="1" showErrorMessage="1" sqref="N6:N105">
      <formula1>方位</formula1>
    </dataValidation>
  </dataValidations>
  <pageMargins left="0.23622047244094491" right="0.23622047244094491" top="0.74803149606299213" bottom="0.74803149606299213" header="0.31496062992125984" footer="0.31496062992125984"/>
  <pageSetup paperSize="9" scale="50" fitToHeight="1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37"/>
  <sheetViews>
    <sheetView zoomScale="75" zoomScaleNormal="75" workbookViewId="0">
      <selection activeCell="A6" sqref="A6"/>
    </sheetView>
  </sheetViews>
  <sheetFormatPr defaultRowHeight="15.75" x14ac:dyDescent="0.15"/>
  <cols>
    <col min="1" max="1" width="3.375" style="12" customWidth="1"/>
    <col min="2" max="2" width="5.625" style="12" customWidth="1"/>
    <col min="3" max="3" width="19.75" style="12" customWidth="1"/>
    <col min="4" max="4" width="21.375" style="12" customWidth="1"/>
    <col min="5" max="5" width="15" style="12" bestFit="1" customWidth="1"/>
    <col min="6" max="6" width="12.625" style="12" bestFit="1" customWidth="1"/>
    <col min="7" max="7" width="10.125" style="12" customWidth="1"/>
    <col min="8" max="8" width="13.625" style="12" bestFit="1" customWidth="1"/>
    <col min="9" max="9" width="12.375" style="12" customWidth="1"/>
    <col min="10" max="10" width="6.25" style="12" customWidth="1"/>
    <col min="11" max="11" width="8.5" style="12" customWidth="1"/>
    <col min="12" max="14" width="12.375" style="12" customWidth="1"/>
    <col min="15" max="15" width="8.375" style="12" bestFit="1" customWidth="1"/>
    <col min="16" max="16" width="14.5" style="12" bestFit="1" customWidth="1"/>
    <col min="17" max="17" width="10" style="12" customWidth="1"/>
    <col min="18" max="18" width="11.375" style="12" bestFit="1" customWidth="1"/>
    <col min="19" max="19" width="14.625" style="12" customWidth="1"/>
    <col min="20" max="20" width="8.375" style="12" bestFit="1" customWidth="1"/>
    <col min="21" max="21" width="14.5" style="12" bestFit="1" customWidth="1"/>
    <col min="22" max="22" width="9.375" style="12" bestFit="1" customWidth="1"/>
    <col min="23" max="23" width="11.375" style="12" bestFit="1" customWidth="1"/>
    <col min="24" max="24" width="14.625" style="12" bestFit="1" customWidth="1"/>
    <col min="25" max="25" width="3.375" style="12" customWidth="1"/>
    <col min="26" max="16384" width="9" style="12"/>
  </cols>
  <sheetData>
    <row r="2" spans="2:24" ht="21.75" thickBot="1" x14ac:dyDescent="0.2">
      <c r="C2" s="37" t="s">
        <v>4</v>
      </c>
    </row>
    <row r="3" spans="2:24" ht="30" customHeight="1" thickBot="1" x14ac:dyDescent="0.2">
      <c r="B3" s="184" t="s">
        <v>9</v>
      </c>
      <c r="C3" s="185"/>
      <c r="D3" s="186"/>
      <c r="E3" s="11" t="s">
        <v>36</v>
      </c>
      <c r="F3" s="169" t="s">
        <v>37</v>
      </c>
      <c r="G3" s="167"/>
      <c r="H3" s="167"/>
      <c r="I3" s="168"/>
      <c r="J3" s="166" t="s">
        <v>156</v>
      </c>
      <c r="K3" s="188"/>
      <c r="L3" s="188"/>
      <c r="M3" s="188"/>
      <c r="N3" s="188"/>
      <c r="O3" s="166" t="s">
        <v>157</v>
      </c>
      <c r="P3" s="182"/>
      <c r="Q3" s="182"/>
      <c r="R3" s="182"/>
      <c r="S3" s="183"/>
      <c r="T3" s="166" t="s">
        <v>50</v>
      </c>
      <c r="U3" s="167"/>
      <c r="V3" s="167"/>
      <c r="W3" s="167"/>
      <c r="X3" s="168"/>
    </row>
    <row r="4" spans="2:24" ht="30" customHeight="1" x14ac:dyDescent="0.15">
      <c r="B4" s="170" t="s">
        <v>155</v>
      </c>
      <c r="C4" s="178" t="s">
        <v>5</v>
      </c>
      <c r="D4" s="180" t="s">
        <v>6</v>
      </c>
      <c r="E4" s="35" t="s">
        <v>39</v>
      </c>
      <c r="F4" s="3" t="s">
        <v>40</v>
      </c>
      <c r="G4" s="4" t="s">
        <v>41</v>
      </c>
      <c r="H4" s="4" t="s">
        <v>44</v>
      </c>
      <c r="I4" s="6" t="s">
        <v>46</v>
      </c>
      <c r="J4" s="13" t="s">
        <v>1</v>
      </c>
      <c r="K4" s="4" t="s">
        <v>48</v>
      </c>
      <c r="L4" s="5" t="s">
        <v>158</v>
      </c>
      <c r="M4" s="5" t="s">
        <v>159</v>
      </c>
      <c r="N4" s="71" t="s">
        <v>160</v>
      </c>
      <c r="O4" s="4" t="s">
        <v>161</v>
      </c>
      <c r="P4" s="4" t="s">
        <v>163</v>
      </c>
      <c r="Q4" s="4" t="s">
        <v>165</v>
      </c>
      <c r="R4" s="4" t="s">
        <v>166</v>
      </c>
      <c r="S4" s="6" t="s">
        <v>167</v>
      </c>
      <c r="T4" s="4" t="s">
        <v>169</v>
      </c>
      <c r="U4" s="4" t="s">
        <v>170</v>
      </c>
      <c r="V4" s="4" t="s">
        <v>171</v>
      </c>
      <c r="W4" s="4" t="s">
        <v>172</v>
      </c>
      <c r="X4" s="6" t="s">
        <v>173</v>
      </c>
    </row>
    <row r="5" spans="2:24" ht="16.5" thickBot="1" x14ac:dyDescent="0.2">
      <c r="B5" s="187"/>
      <c r="C5" s="179"/>
      <c r="D5" s="181"/>
      <c r="E5" s="36" t="s">
        <v>43</v>
      </c>
      <c r="F5" s="7" t="s">
        <v>38</v>
      </c>
      <c r="G5" s="8" t="s">
        <v>42</v>
      </c>
      <c r="H5" s="8" t="s">
        <v>43</v>
      </c>
      <c r="I5" s="10" t="s">
        <v>45</v>
      </c>
      <c r="J5" s="14" t="s">
        <v>24</v>
      </c>
      <c r="K5" s="8" t="s">
        <v>47</v>
      </c>
      <c r="L5" s="9" t="s">
        <v>19</v>
      </c>
      <c r="M5" s="9" t="s">
        <v>19</v>
      </c>
      <c r="N5" s="72" t="s">
        <v>19</v>
      </c>
      <c r="O5" s="8" t="s">
        <v>162</v>
      </c>
      <c r="P5" s="8" t="s">
        <v>164</v>
      </c>
      <c r="Q5" s="8" t="s">
        <v>49</v>
      </c>
      <c r="R5" s="8" t="s">
        <v>34</v>
      </c>
      <c r="S5" s="10" t="s">
        <v>168</v>
      </c>
      <c r="T5" s="8" t="s">
        <v>162</v>
      </c>
      <c r="U5" s="8" t="s">
        <v>164</v>
      </c>
      <c r="V5" s="8" t="s">
        <v>49</v>
      </c>
      <c r="W5" s="8" t="s">
        <v>34</v>
      </c>
      <c r="X5" s="10" t="s">
        <v>174</v>
      </c>
    </row>
    <row r="6" spans="2:24" ht="30" customHeight="1" x14ac:dyDescent="0.15">
      <c r="B6" s="13">
        <v>1</v>
      </c>
      <c r="C6" s="19" t="s">
        <v>116</v>
      </c>
      <c r="D6" s="20" t="s">
        <v>117</v>
      </c>
      <c r="E6" s="16">
        <f>2.85*1.7</f>
        <v>4.8449999999999998</v>
      </c>
      <c r="F6" s="17">
        <v>6.51</v>
      </c>
      <c r="G6" s="65">
        <f t="shared" ref="G6:G35" si="0">E6</f>
        <v>4.8449999999999998</v>
      </c>
      <c r="H6" s="18">
        <v>1</v>
      </c>
      <c r="I6" s="60">
        <f t="shared" ref="I6:I35" si="1">F6*G6*H6</f>
        <v>31.540949999999999</v>
      </c>
      <c r="J6" s="17" t="s">
        <v>133</v>
      </c>
      <c r="K6" s="18">
        <v>0.88</v>
      </c>
      <c r="L6" s="18">
        <v>153</v>
      </c>
      <c r="M6" s="18">
        <v>1700</v>
      </c>
      <c r="N6" s="73">
        <v>1060</v>
      </c>
      <c r="O6" s="52">
        <f>K6</f>
        <v>0.88</v>
      </c>
      <c r="P6" s="65">
        <f>MIN(IF(N6=0,0.72,CHOOSE(VLOOKUP(J6,'(内部データ)日除け効果'!$D$3:$E$10,2,FALSE),0.01*(5+20*(3*L6+M6)/N6),0.01*(10+15*(2*L6+M6)/N6))),0.72)</f>
        <v>0.38386792452830193</v>
      </c>
      <c r="Q6" s="65">
        <f>E6</f>
        <v>4.8449999999999998</v>
      </c>
      <c r="R6" s="18">
        <v>0.52300000000000002</v>
      </c>
      <c r="S6" s="60">
        <f t="shared" ref="S6:S15" si="2">O6*P6*Q6*R6</f>
        <v>0.85597280501886797</v>
      </c>
      <c r="T6" s="65">
        <f>K6</f>
        <v>0.88</v>
      </c>
      <c r="U6" s="65">
        <f>MIN(IF(N6=0,0.93,CHOOSE(IF(合計!$F$3=8,VLOOKUP(J6,'(内部データ)日除け効果'!$L$3:$M$10,2,FALSE),VLOOKUP(J6,'(内部データ)日除け効果'!$H$3:$I$10,2,FALSE)),0.01*(24+9*(3*L6+M6)/N6),0.01*(16+24*(2*L6+M6)/N6),0.01*(16+19*(2*L6+M6)/N6))),0.93)</f>
        <v>0.61418867924528298</v>
      </c>
      <c r="V6" s="65">
        <f>G6</f>
        <v>4.8449999999999998</v>
      </c>
      <c r="W6" s="79">
        <v>0.504</v>
      </c>
      <c r="X6" s="60">
        <f t="shared" ref="X6:X15" si="3">T6*U6*V6*W6</f>
        <v>1.319802045826415</v>
      </c>
    </row>
    <row r="7" spans="2:24" ht="30" customHeight="1" x14ac:dyDescent="0.15">
      <c r="B7" s="64">
        <v>2</v>
      </c>
      <c r="C7" s="28" t="s">
        <v>118</v>
      </c>
      <c r="D7" s="20" t="s">
        <v>117</v>
      </c>
      <c r="E7" s="21">
        <f>1.9*1.7</f>
        <v>3.23</v>
      </c>
      <c r="F7" s="22">
        <v>6.51</v>
      </c>
      <c r="G7" s="76">
        <f t="shared" si="0"/>
        <v>3.23</v>
      </c>
      <c r="H7" s="24">
        <v>1</v>
      </c>
      <c r="I7" s="77">
        <f t="shared" si="1"/>
        <v>21.0273</v>
      </c>
      <c r="J7" s="22" t="s">
        <v>135</v>
      </c>
      <c r="K7" s="24">
        <v>0.88</v>
      </c>
      <c r="L7" s="24">
        <v>153</v>
      </c>
      <c r="M7" s="24">
        <v>1700</v>
      </c>
      <c r="N7" s="74">
        <v>658</v>
      </c>
      <c r="O7" s="78">
        <f>K7</f>
        <v>0.88</v>
      </c>
      <c r="P7" s="66">
        <f>MIN(IF(N7=0,0.72,CHOOSE(VLOOKUP(J7,'(内部データ)日除け効果'!$D$3:$E$10,2,FALSE),0.01*(5+20*(3*L7+M7)/N7),0.01*(10+15*(2*L7+M7)/N7))),0.72)</f>
        <v>0.55729483282674774</v>
      </c>
      <c r="Q7" s="66">
        <f t="shared" ref="Q7:Q35" si="4">E7</f>
        <v>3.23</v>
      </c>
      <c r="R7" s="24">
        <v>0.57899999999999996</v>
      </c>
      <c r="S7" s="77">
        <f t="shared" si="2"/>
        <v>0.91716774820668689</v>
      </c>
      <c r="T7" s="76">
        <f>K7</f>
        <v>0.88</v>
      </c>
      <c r="U7" s="66">
        <f>MIN(IF(N7=0,0.93,CHOOSE(IF(合計!$F$3=8,VLOOKUP(J7,'(内部データ)日除け効果'!$L$3:$M$10,2,FALSE),VLOOKUP(J7,'(内部データ)日除け効果'!$H$3:$I$10,2,FALSE)),0.01*(24+9*(3*L7+M7)/N7),0.01*(16+24*(2*L7+M7)/N7),0.01*(16+19*(2*L7+M7)/N7))),0.93)</f>
        <v>0.89167173252279641</v>
      </c>
      <c r="V7" s="76">
        <f>G7</f>
        <v>3.23</v>
      </c>
      <c r="W7" s="80">
        <v>0.51200000000000001</v>
      </c>
      <c r="X7" s="77">
        <f t="shared" si="3"/>
        <v>1.2976577190516718</v>
      </c>
    </row>
    <row r="8" spans="2:24" ht="30" customHeight="1" x14ac:dyDescent="0.15">
      <c r="B8" s="64">
        <v>3</v>
      </c>
      <c r="C8" s="28" t="s">
        <v>120</v>
      </c>
      <c r="D8" s="20" t="s">
        <v>117</v>
      </c>
      <c r="E8" s="21">
        <f>1.9*0.3</f>
        <v>0.56999999999999995</v>
      </c>
      <c r="F8" s="22">
        <v>6.51</v>
      </c>
      <c r="G8" s="76">
        <f t="shared" si="0"/>
        <v>0.56999999999999995</v>
      </c>
      <c r="H8" s="24">
        <v>1</v>
      </c>
      <c r="I8" s="77">
        <f t="shared" si="1"/>
        <v>3.7106999999999997</v>
      </c>
      <c r="J8" s="22" t="s">
        <v>135</v>
      </c>
      <c r="K8" s="24">
        <v>0.88</v>
      </c>
      <c r="L8" s="24">
        <v>0</v>
      </c>
      <c r="M8" s="24">
        <v>300</v>
      </c>
      <c r="N8" s="74">
        <v>658</v>
      </c>
      <c r="O8" s="78">
        <f t="shared" ref="O8:O34" si="5">K8</f>
        <v>0.88</v>
      </c>
      <c r="P8" s="66">
        <f>MIN(IF(N8=0,0.72,CHOOSE(VLOOKUP(J8,'(内部データ)日除け効果'!$D$3:$E$10,2,FALSE),0.01*(5+20*(3*L8+M8)/N8),0.01*(10+15*(2*L8+M8)/N8))),0.72)</f>
        <v>0.16838905775075985</v>
      </c>
      <c r="Q8" s="66">
        <f t="shared" si="4"/>
        <v>0.56999999999999995</v>
      </c>
      <c r="R8" s="24">
        <v>0.57899999999999996</v>
      </c>
      <c r="S8" s="77">
        <f t="shared" si="2"/>
        <v>4.8904627841945277E-2</v>
      </c>
      <c r="T8" s="76">
        <f t="shared" ref="T8:T35" si="6">K8</f>
        <v>0.88</v>
      </c>
      <c r="U8" s="66">
        <f>MIN(IF(N8=0,0.93,CHOOSE(IF(合計!$F$3=8,VLOOKUP(J8,'(内部データ)日除け効果'!$L$3:$M$10,2,FALSE),VLOOKUP(J8,'(内部データ)日除け効果'!$H$3:$I$10,2,FALSE)),0.01*(24+9*(3*L8+M8)/N8),0.01*(16+24*(2*L8+M8)/N8),0.01*(16+19*(2*L8+M8)/N8))),0.93)</f>
        <v>0.2694224924012158</v>
      </c>
      <c r="V8" s="76">
        <f t="shared" ref="V8:V35" si="7">G8</f>
        <v>0.56999999999999995</v>
      </c>
      <c r="W8" s="80">
        <v>0.51200000000000001</v>
      </c>
      <c r="X8" s="77">
        <f t="shared" si="3"/>
        <v>6.9192868960486306E-2</v>
      </c>
    </row>
    <row r="9" spans="2:24" ht="30" customHeight="1" x14ac:dyDescent="0.15">
      <c r="B9" s="64">
        <v>4</v>
      </c>
      <c r="C9" s="28" t="s">
        <v>113</v>
      </c>
      <c r="D9" s="20" t="s">
        <v>117</v>
      </c>
      <c r="E9" s="21">
        <f>1.365*1.7</f>
        <v>2.3205</v>
      </c>
      <c r="F9" s="22">
        <v>6.51</v>
      </c>
      <c r="G9" s="76">
        <f t="shared" si="0"/>
        <v>2.3205</v>
      </c>
      <c r="H9" s="24">
        <v>1</v>
      </c>
      <c r="I9" s="77">
        <f t="shared" si="1"/>
        <v>15.106455</v>
      </c>
      <c r="J9" s="22" t="s">
        <v>135</v>
      </c>
      <c r="K9" s="24">
        <v>0.88</v>
      </c>
      <c r="L9" s="24">
        <v>2618</v>
      </c>
      <c r="M9" s="24">
        <v>1700</v>
      </c>
      <c r="N9" s="74">
        <v>1354</v>
      </c>
      <c r="O9" s="78">
        <f t="shared" si="5"/>
        <v>0.88</v>
      </c>
      <c r="P9" s="66">
        <f>MIN(IF(N9=0,0.72,CHOOSE(VLOOKUP(J9,'(内部データ)日除け効果'!$D$3:$E$10,2,FALSE),0.01*(5+20*(3*L9+M9)/N9),0.01*(10+15*(2*L9+M9)/N9))),0.72)</f>
        <v>0.72</v>
      </c>
      <c r="Q9" s="66">
        <f t="shared" si="4"/>
        <v>2.3205</v>
      </c>
      <c r="R9" s="24">
        <v>0.57899999999999996</v>
      </c>
      <c r="S9" s="77">
        <f t="shared" si="2"/>
        <v>0.85128563519999989</v>
      </c>
      <c r="T9" s="76">
        <f t="shared" si="6"/>
        <v>0.88</v>
      </c>
      <c r="U9" s="66">
        <f>MIN(IF(N9=0,0.93,CHOOSE(IF(合計!$F$3=8,VLOOKUP(J9,'(内部データ)日除け効果'!$L$3:$M$10,2,FALSE),VLOOKUP(J9,'(内部データ)日除け効果'!$H$3:$I$10,2,FALSE)),0.01*(24+9*(3*L9+M9)/N9),0.01*(16+24*(2*L9+M9)/N9),0.01*(16+19*(2*L9+M9)/N9))),0.93)</f>
        <v>0.93</v>
      </c>
      <c r="V9" s="76">
        <f t="shared" si="7"/>
        <v>2.3205</v>
      </c>
      <c r="W9" s="80">
        <v>0.51200000000000001</v>
      </c>
      <c r="X9" s="77">
        <f t="shared" si="3"/>
        <v>0.97233776640000014</v>
      </c>
    </row>
    <row r="10" spans="2:24" ht="30" customHeight="1" x14ac:dyDescent="0.15">
      <c r="B10" s="64">
        <v>5</v>
      </c>
      <c r="C10" s="28" t="s">
        <v>112</v>
      </c>
      <c r="D10" s="20" t="s">
        <v>117</v>
      </c>
      <c r="E10" s="21">
        <f>0.95*1.7</f>
        <v>1.615</v>
      </c>
      <c r="F10" s="22">
        <v>6.51</v>
      </c>
      <c r="G10" s="76">
        <f t="shared" si="0"/>
        <v>1.615</v>
      </c>
      <c r="H10" s="24">
        <v>1</v>
      </c>
      <c r="I10" s="77">
        <f t="shared" si="1"/>
        <v>10.51365</v>
      </c>
      <c r="J10" s="22" t="s">
        <v>133</v>
      </c>
      <c r="K10" s="24">
        <v>0.88</v>
      </c>
      <c r="L10" s="24">
        <v>525</v>
      </c>
      <c r="M10" s="24">
        <v>1700</v>
      </c>
      <c r="N10" s="74">
        <v>1060</v>
      </c>
      <c r="O10" s="78">
        <f t="shared" si="5"/>
        <v>0.88</v>
      </c>
      <c r="P10" s="66">
        <f>MIN(IF(N10=0,0.72,CHOOSE(VLOOKUP(J10,'(内部データ)日除け効果'!$D$3:$E$10,2,FALSE),0.01*(5+20*(3*L10+M10)/N10),0.01*(10+15*(2*L10+M10)/N10))),0.72)</f>
        <v>0.48915094339622645</v>
      </c>
      <c r="Q10" s="66">
        <f t="shared" si="4"/>
        <v>1.615</v>
      </c>
      <c r="R10" s="24">
        <v>0.52300000000000002</v>
      </c>
      <c r="S10" s="77">
        <f t="shared" si="2"/>
        <v>0.363579830754717</v>
      </c>
      <c r="T10" s="76">
        <f t="shared" si="6"/>
        <v>0.88</v>
      </c>
      <c r="U10" s="66">
        <f>MIN(IF(N10=0,0.93,CHOOSE(IF(合計!$F$3=8,VLOOKUP(J10,'(内部データ)日除け効果'!$L$3:$M$10,2,FALSE),VLOOKUP(J10,'(内部データ)日除け効果'!$H$3:$I$10,2,FALSE)),0.01*(24+9*(3*L10+M10)/N10),0.01*(16+24*(2*L10+M10)/N10),0.01*(16+19*(2*L10+M10)/N10))),0.93)</f>
        <v>0.78264150943396238</v>
      </c>
      <c r="V10" s="76">
        <f t="shared" si="7"/>
        <v>1.615</v>
      </c>
      <c r="W10" s="80">
        <v>0.504</v>
      </c>
      <c r="X10" s="77">
        <f t="shared" si="3"/>
        <v>0.56059421705660384</v>
      </c>
    </row>
    <row r="11" spans="2:24" ht="30" customHeight="1" x14ac:dyDescent="0.15">
      <c r="B11" s="64">
        <v>6</v>
      </c>
      <c r="C11" s="28" t="s">
        <v>80</v>
      </c>
      <c r="D11" s="20" t="s">
        <v>117</v>
      </c>
      <c r="E11" s="21">
        <f>2.85*1.3</f>
        <v>3.7050000000000001</v>
      </c>
      <c r="F11" s="22">
        <v>6.51</v>
      </c>
      <c r="G11" s="76">
        <f t="shared" si="0"/>
        <v>3.7050000000000001</v>
      </c>
      <c r="H11" s="24">
        <v>1</v>
      </c>
      <c r="I11" s="77">
        <f t="shared" si="1"/>
        <v>24.11955</v>
      </c>
      <c r="J11" s="22" t="s">
        <v>133</v>
      </c>
      <c r="K11" s="24">
        <v>0.88</v>
      </c>
      <c r="L11" s="24">
        <v>225</v>
      </c>
      <c r="M11" s="24">
        <v>1300</v>
      </c>
      <c r="N11" s="74">
        <v>900</v>
      </c>
      <c r="O11" s="78">
        <f t="shared" si="5"/>
        <v>0.88</v>
      </c>
      <c r="P11" s="66">
        <f>MIN(IF(N11=0,0.72,CHOOSE(VLOOKUP(J11,'(内部データ)日除け効果'!$D$3:$E$10,2,FALSE),0.01*(5+20*(3*L11+M11)/N11),0.01*(10+15*(2*L11+M11)/N11))),0.72)</f>
        <v>0.39166666666666672</v>
      </c>
      <c r="Q11" s="66">
        <f t="shared" si="4"/>
        <v>3.7050000000000001</v>
      </c>
      <c r="R11" s="24">
        <v>0.52300000000000002</v>
      </c>
      <c r="S11" s="77">
        <f t="shared" si="2"/>
        <v>0.66786577000000014</v>
      </c>
      <c r="T11" s="76">
        <f t="shared" si="6"/>
        <v>0.88</v>
      </c>
      <c r="U11" s="66">
        <f>MIN(IF(N11=0,0.93,CHOOSE(IF(合計!$F$3=8,VLOOKUP(J11,'(内部データ)日除け効果'!$L$3:$M$10,2,FALSE),VLOOKUP(J11,'(内部データ)日除け効果'!$H$3:$I$10,2,FALSE)),0.01*(24+9*(3*L11+M11)/N11),0.01*(16+24*(2*L11+M11)/N11),0.01*(16+19*(2*L11+M11)/N11))),0.93)</f>
        <v>0.62666666666666671</v>
      </c>
      <c r="V11" s="76">
        <f t="shared" si="7"/>
        <v>3.7050000000000001</v>
      </c>
      <c r="W11" s="80">
        <v>0.504</v>
      </c>
      <c r="X11" s="77">
        <f t="shared" si="3"/>
        <v>1.029764736</v>
      </c>
    </row>
    <row r="12" spans="2:24" ht="30" customHeight="1" x14ac:dyDescent="0.15">
      <c r="B12" s="64">
        <v>7</v>
      </c>
      <c r="C12" s="28" t="s">
        <v>88</v>
      </c>
      <c r="D12" s="20" t="s">
        <v>117</v>
      </c>
      <c r="E12" s="21">
        <f>2.85*1.3</f>
        <v>3.7050000000000001</v>
      </c>
      <c r="F12" s="22">
        <v>6.51</v>
      </c>
      <c r="G12" s="76">
        <f t="shared" si="0"/>
        <v>3.7050000000000001</v>
      </c>
      <c r="H12" s="24">
        <v>1</v>
      </c>
      <c r="I12" s="77">
        <f t="shared" si="1"/>
        <v>24.11955</v>
      </c>
      <c r="J12" s="22" t="s">
        <v>135</v>
      </c>
      <c r="K12" s="24">
        <v>0.88</v>
      </c>
      <c r="L12" s="24">
        <v>150</v>
      </c>
      <c r="M12" s="24">
        <v>1700</v>
      </c>
      <c r="N12" s="74">
        <v>658</v>
      </c>
      <c r="O12" s="78">
        <f t="shared" si="5"/>
        <v>0.88</v>
      </c>
      <c r="P12" s="66">
        <f>MIN(IF(N12=0,0.72,CHOOSE(VLOOKUP(J12,'(内部データ)日除け効果'!$D$3:$E$10,2,FALSE),0.01*(5+20*(3*L12+M12)/N12),0.01*(10+15*(2*L12+M12)/N12))),0.72)</f>
        <v>0.55592705167173251</v>
      </c>
      <c r="Q12" s="66">
        <f t="shared" si="4"/>
        <v>3.7050000000000001</v>
      </c>
      <c r="R12" s="24">
        <v>0.57899999999999996</v>
      </c>
      <c r="S12" s="77">
        <f t="shared" si="2"/>
        <v>1.0494632998176292</v>
      </c>
      <c r="T12" s="76">
        <f t="shared" si="6"/>
        <v>0.88</v>
      </c>
      <c r="U12" s="66">
        <f>MIN(IF(N12=0,0.93,CHOOSE(IF(合計!$F$3=8,VLOOKUP(J12,'(内部データ)日除け効果'!$L$3:$M$10,2,FALSE),VLOOKUP(J12,'(内部データ)日除け効果'!$H$3:$I$10,2,FALSE)),0.01*(24+9*(3*L12+M12)/N12),0.01*(16+24*(2*L12+M12)/N12),0.01*(16+19*(2*L12+M12)/N12))),0.93)</f>
        <v>0.88948328267477206</v>
      </c>
      <c r="V12" s="76">
        <f t="shared" si="7"/>
        <v>3.7050000000000001</v>
      </c>
      <c r="W12" s="80">
        <v>0.51200000000000001</v>
      </c>
      <c r="X12" s="77">
        <f t="shared" si="3"/>
        <v>1.4848365029544075</v>
      </c>
    </row>
    <row r="13" spans="2:24" ht="30" customHeight="1" x14ac:dyDescent="0.15">
      <c r="B13" s="64">
        <v>8</v>
      </c>
      <c r="C13" s="28" t="s">
        <v>119</v>
      </c>
      <c r="D13" s="20" t="s">
        <v>117</v>
      </c>
      <c r="E13" s="21">
        <f>2.85*0.3</f>
        <v>0.85499999999999998</v>
      </c>
      <c r="F13" s="22">
        <v>6.51</v>
      </c>
      <c r="G13" s="76">
        <f t="shared" si="0"/>
        <v>0.85499999999999998</v>
      </c>
      <c r="H13" s="24">
        <v>1</v>
      </c>
      <c r="I13" s="77">
        <f t="shared" si="1"/>
        <v>5.5660499999999997</v>
      </c>
      <c r="J13" s="22" t="s">
        <v>135</v>
      </c>
      <c r="K13" s="24">
        <v>0.88</v>
      </c>
      <c r="L13" s="24">
        <v>0</v>
      </c>
      <c r="M13" s="24">
        <v>300</v>
      </c>
      <c r="N13" s="74">
        <v>658</v>
      </c>
      <c r="O13" s="78">
        <f t="shared" si="5"/>
        <v>0.88</v>
      </c>
      <c r="P13" s="66">
        <f>MIN(IF(N13=0,0.72,CHOOSE(VLOOKUP(J13,'(内部データ)日除け効果'!$D$3:$E$10,2,FALSE),0.01*(5+20*(3*L13+M13)/N13),0.01*(10+15*(2*L13+M13)/N13))),0.72)</f>
        <v>0.16838905775075985</v>
      </c>
      <c r="Q13" s="66">
        <f t="shared" si="4"/>
        <v>0.85499999999999998</v>
      </c>
      <c r="R13" s="24">
        <v>0.57899999999999996</v>
      </c>
      <c r="S13" s="77">
        <f t="shared" si="2"/>
        <v>7.3356941762917918E-2</v>
      </c>
      <c r="T13" s="76">
        <f t="shared" si="6"/>
        <v>0.88</v>
      </c>
      <c r="U13" s="66">
        <f>MIN(IF(N13=0,0.93,CHOOSE(IF(合計!$F$3=8,VLOOKUP(J13,'(内部データ)日除け効果'!$L$3:$M$10,2,FALSE),VLOOKUP(J13,'(内部データ)日除け効果'!$H$3:$I$10,2,FALSE)),0.01*(24+9*(3*L13+M13)/N13),0.01*(16+24*(2*L13+M13)/N13),0.01*(16+19*(2*L13+M13)/N13))),0.93)</f>
        <v>0.2694224924012158</v>
      </c>
      <c r="V13" s="76">
        <f t="shared" si="7"/>
        <v>0.85499999999999998</v>
      </c>
      <c r="W13" s="80">
        <v>0.51200000000000001</v>
      </c>
      <c r="X13" s="77">
        <f t="shared" si="3"/>
        <v>0.10378930344072948</v>
      </c>
    </row>
    <row r="14" spans="2:24" ht="30" customHeight="1" x14ac:dyDescent="0.15">
      <c r="B14" s="64">
        <v>9</v>
      </c>
      <c r="C14" s="28" t="s">
        <v>92</v>
      </c>
      <c r="D14" s="20" t="s">
        <v>117</v>
      </c>
      <c r="E14" s="21">
        <f>1.365*1.3</f>
        <v>1.7745</v>
      </c>
      <c r="F14" s="22">
        <v>6.51</v>
      </c>
      <c r="G14" s="76">
        <f t="shared" si="0"/>
        <v>1.7745</v>
      </c>
      <c r="H14" s="24">
        <v>1</v>
      </c>
      <c r="I14" s="77">
        <f t="shared" si="1"/>
        <v>11.551995</v>
      </c>
      <c r="J14" s="22" t="s">
        <v>135</v>
      </c>
      <c r="K14" s="24">
        <v>0.88</v>
      </c>
      <c r="L14" s="24">
        <v>150</v>
      </c>
      <c r="M14" s="24">
        <v>1300</v>
      </c>
      <c r="N14" s="74">
        <v>1354</v>
      </c>
      <c r="O14" s="78">
        <f t="shared" si="5"/>
        <v>0.88</v>
      </c>
      <c r="P14" s="66">
        <f>MIN(IF(N14=0,0.72,CHOOSE(VLOOKUP(J14,'(内部データ)日除け効果'!$D$3:$E$10,2,FALSE),0.01*(5+20*(3*L14+M14)/N14),0.01*(10+15*(2*L14+M14)/N14))),0.72)</f>
        <v>0.27725258493353028</v>
      </c>
      <c r="Q14" s="66">
        <f t="shared" si="4"/>
        <v>1.7745</v>
      </c>
      <c r="R14" s="24">
        <v>0.57899999999999996</v>
      </c>
      <c r="S14" s="77">
        <f t="shared" si="2"/>
        <v>0.25067605044017721</v>
      </c>
      <c r="T14" s="76">
        <f t="shared" si="6"/>
        <v>0.88</v>
      </c>
      <c r="U14" s="66">
        <f>MIN(IF(N14=0,0.93,CHOOSE(IF(合計!$F$3=8,VLOOKUP(J14,'(内部データ)日除け効果'!$L$3:$M$10,2,FALSE),VLOOKUP(J14,'(内部データ)日除け効果'!$H$3:$I$10,2,FALSE)),0.01*(24+9*(3*L14+M14)/N14),0.01*(16+24*(2*L14+M14)/N14),0.01*(16+19*(2*L14+M14)/N14))),0.93)</f>
        <v>0.44360413589364844</v>
      </c>
      <c r="V14" s="76">
        <f t="shared" si="7"/>
        <v>1.7745</v>
      </c>
      <c r="W14" s="80">
        <v>0.51200000000000001</v>
      </c>
      <c r="X14" s="77">
        <f t="shared" si="3"/>
        <v>0.35466981091639588</v>
      </c>
    </row>
    <row r="15" spans="2:24" ht="30" customHeight="1" x14ac:dyDescent="0.15">
      <c r="B15" s="64">
        <v>10</v>
      </c>
      <c r="C15" s="28" t="s">
        <v>95</v>
      </c>
      <c r="D15" s="20" t="s">
        <v>117</v>
      </c>
      <c r="E15" s="21">
        <f>0.95*1.15</f>
        <v>1.0924999999999998</v>
      </c>
      <c r="F15" s="22">
        <v>6.51</v>
      </c>
      <c r="G15" s="76">
        <f t="shared" si="0"/>
        <v>1.0924999999999998</v>
      </c>
      <c r="H15" s="24">
        <v>1</v>
      </c>
      <c r="I15" s="77">
        <f t="shared" si="1"/>
        <v>7.1121749999999988</v>
      </c>
      <c r="J15" s="22" t="s">
        <v>133</v>
      </c>
      <c r="K15" s="24">
        <v>0.88</v>
      </c>
      <c r="L15" s="24">
        <v>375</v>
      </c>
      <c r="M15" s="24">
        <v>1150</v>
      </c>
      <c r="N15" s="74">
        <v>900</v>
      </c>
      <c r="O15" s="78">
        <f t="shared" si="5"/>
        <v>0.88</v>
      </c>
      <c r="P15" s="66">
        <f>MIN(IF(N15=0,0.72,CHOOSE(VLOOKUP(J15,'(内部データ)日除け効果'!$D$3:$E$10,2,FALSE),0.01*(5+20*(3*L15+M15)/N15),0.01*(10+15*(2*L15+M15)/N15))),0.72)</f>
        <v>0.41666666666666674</v>
      </c>
      <c r="Q15" s="66">
        <f t="shared" si="4"/>
        <v>1.0924999999999998</v>
      </c>
      <c r="R15" s="24">
        <v>0.52300000000000002</v>
      </c>
      <c r="S15" s="77">
        <f t="shared" si="2"/>
        <v>0.20950508333333334</v>
      </c>
      <c r="T15" s="76">
        <f t="shared" si="6"/>
        <v>0.88</v>
      </c>
      <c r="U15" s="66">
        <f>MIN(IF(N15=0,0.93,CHOOSE(IF(合計!$F$3=8,VLOOKUP(J15,'(内部データ)日除け効果'!$L$3:$M$10,2,FALSE),VLOOKUP(J15,'(内部データ)日除け効果'!$H$3:$I$10,2,FALSE)),0.01*(24+9*(3*L15+M15)/N15),0.01*(16+24*(2*L15+M15)/N15),0.01*(16+19*(2*L15+M15)/N15))),0.93)</f>
        <v>0.66666666666666663</v>
      </c>
      <c r="V15" s="76">
        <f t="shared" si="7"/>
        <v>1.0924999999999998</v>
      </c>
      <c r="W15" s="80">
        <v>0.504</v>
      </c>
      <c r="X15" s="77">
        <f t="shared" si="3"/>
        <v>0.32303039999999994</v>
      </c>
    </row>
    <row r="16" spans="2:24" ht="30" customHeight="1" x14ac:dyDescent="0.15">
      <c r="B16" s="64">
        <v>11</v>
      </c>
      <c r="C16" s="28"/>
      <c r="D16" s="20"/>
      <c r="E16" s="21"/>
      <c r="F16" s="22"/>
      <c r="G16" s="76">
        <f t="shared" si="0"/>
        <v>0</v>
      </c>
      <c r="H16" s="24"/>
      <c r="I16" s="77">
        <f t="shared" si="1"/>
        <v>0</v>
      </c>
      <c r="J16" s="22"/>
      <c r="K16" s="24"/>
      <c r="L16" s="24"/>
      <c r="M16" s="24"/>
      <c r="N16" s="74"/>
      <c r="O16" s="78">
        <f t="shared" si="5"/>
        <v>0</v>
      </c>
      <c r="P16" s="66">
        <f>MIN(IF(N16=0,0.72,CHOOSE(VLOOKUP(J16,'(内部データ)日除け効果'!$D$3:$E$10,2,FALSE),0.01*(5+20*(3*L16+M16)/N16),0.01*(10+15*(2*L16+M16)/N16))),0.72)</f>
        <v>0.72</v>
      </c>
      <c r="Q16" s="66">
        <f t="shared" si="4"/>
        <v>0</v>
      </c>
      <c r="R16" s="24"/>
      <c r="S16" s="77">
        <f t="shared" ref="S16:S35" si="8">O16*P16*Q16*R16</f>
        <v>0</v>
      </c>
      <c r="T16" s="76">
        <f t="shared" si="6"/>
        <v>0</v>
      </c>
      <c r="U16" s="66">
        <f>MIN(IF(N16=0,0.93,CHOOSE(IF(合計!$F$3=8,VLOOKUP(J16,'(内部データ)日除け効果'!$L$3:$M$10,2,FALSE),VLOOKUP(J16,'(内部データ)日除け効果'!$H$3:$I$10,2,FALSE)),0.01*(24+9*(3*L16+M16)/N16),0.01*(16+24*(2*L16+M16)/N16),0.01*(16+19*(2*L16+M16)/N16))),0.93)</f>
        <v>0.93</v>
      </c>
      <c r="V16" s="76">
        <f t="shared" si="7"/>
        <v>0</v>
      </c>
      <c r="W16" s="80"/>
      <c r="X16" s="77">
        <f t="shared" ref="X16:X35" si="9">T16*U16*V16*W16</f>
        <v>0</v>
      </c>
    </row>
    <row r="17" spans="2:24" ht="30" customHeight="1" x14ac:dyDescent="0.15">
      <c r="B17" s="64">
        <v>12</v>
      </c>
      <c r="C17" s="28"/>
      <c r="D17" s="20"/>
      <c r="E17" s="21"/>
      <c r="F17" s="22"/>
      <c r="G17" s="76">
        <f t="shared" si="0"/>
        <v>0</v>
      </c>
      <c r="H17" s="24"/>
      <c r="I17" s="77">
        <f t="shared" si="1"/>
        <v>0</v>
      </c>
      <c r="J17" s="22"/>
      <c r="K17" s="24"/>
      <c r="L17" s="24"/>
      <c r="M17" s="24"/>
      <c r="N17" s="74"/>
      <c r="O17" s="78">
        <f t="shared" si="5"/>
        <v>0</v>
      </c>
      <c r="P17" s="66">
        <f>MIN(IF(N17=0,0.72,CHOOSE(VLOOKUP(J17,'(内部データ)日除け効果'!$D$3:$E$10,2,FALSE),0.01*(5+20*(3*L17+M17)/N17),0.01*(10+15*(2*L17+M17)/N17))),0.72)</f>
        <v>0.72</v>
      </c>
      <c r="Q17" s="66">
        <f t="shared" si="4"/>
        <v>0</v>
      </c>
      <c r="R17" s="24"/>
      <c r="S17" s="77">
        <f t="shared" si="8"/>
        <v>0</v>
      </c>
      <c r="T17" s="76">
        <f t="shared" si="6"/>
        <v>0</v>
      </c>
      <c r="U17" s="66">
        <f>MIN(IF(N17=0,0.93,CHOOSE(IF(合計!$F$3=8,VLOOKUP(J17,'(内部データ)日除け効果'!$L$3:$M$10,2,FALSE),VLOOKUP(J17,'(内部データ)日除け効果'!$H$3:$I$10,2,FALSE)),0.01*(24+9*(3*L17+M17)/N17),0.01*(16+24*(2*L17+M17)/N17),0.01*(16+19*(2*L17+M17)/N17))),0.93)</f>
        <v>0.93</v>
      </c>
      <c r="V17" s="76">
        <f t="shared" si="7"/>
        <v>0</v>
      </c>
      <c r="W17" s="80"/>
      <c r="X17" s="77">
        <f t="shared" si="9"/>
        <v>0</v>
      </c>
    </row>
    <row r="18" spans="2:24" ht="30" customHeight="1" x14ac:dyDescent="0.15">
      <c r="B18" s="64">
        <v>13</v>
      </c>
      <c r="C18" s="28"/>
      <c r="D18" s="20"/>
      <c r="E18" s="21"/>
      <c r="F18" s="22"/>
      <c r="G18" s="76">
        <f t="shared" si="0"/>
        <v>0</v>
      </c>
      <c r="H18" s="24"/>
      <c r="I18" s="77">
        <f t="shared" si="1"/>
        <v>0</v>
      </c>
      <c r="J18" s="22"/>
      <c r="K18" s="24"/>
      <c r="L18" s="24"/>
      <c r="M18" s="24"/>
      <c r="N18" s="74"/>
      <c r="O18" s="78">
        <f t="shared" si="5"/>
        <v>0</v>
      </c>
      <c r="P18" s="66">
        <f>MIN(IF(N18=0,0.72,CHOOSE(VLOOKUP(J18,'(内部データ)日除け効果'!$D$3:$E$10,2,FALSE),0.01*(5+20*(3*L18+M18)/N18),0.01*(10+15*(2*L18+M18)/N18))),0.72)</f>
        <v>0.72</v>
      </c>
      <c r="Q18" s="66">
        <f t="shared" si="4"/>
        <v>0</v>
      </c>
      <c r="R18" s="24"/>
      <c r="S18" s="77">
        <f t="shared" si="8"/>
        <v>0</v>
      </c>
      <c r="T18" s="76">
        <f t="shared" si="6"/>
        <v>0</v>
      </c>
      <c r="U18" s="66">
        <f>MIN(IF(N18=0,0.93,CHOOSE(IF(合計!$F$3=8,VLOOKUP(J18,'(内部データ)日除け効果'!$L$3:$M$10,2,FALSE),VLOOKUP(J18,'(内部データ)日除け効果'!$H$3:$I$10,2,FALSE)),0.01*(24+9*(3*L18+M18)/N18),0.01*(16+24*(2*L18+M18)/N18),0.01*(16+19*(2*L18+M18)/N18))),0.93)</f>
        <v>0.93</v>
      </c>
      <c r="V18" s="76">
        <f t="shared" si="7"/>
        <v>0</v>
      </c>
      <c r="W18" s="80"/>
      <c r="X18" s="77">
        <f t="shared" si="9"/>
        <v>0</v>
      </c>
    </row>
    <row r="19" spans="2:24" ht="30" customHeight="1" x14ac:dyDescent="0.15">
      <c r="B19" s="64">
        <v>14</v>
      </c>
      <c r="C19" s="28"/>
      <c r="D19" s="25"/>
      <c r="E19" s="26"/>
      <c r="F19" s="27"/>
      <c r="G19" s="76">
        <f t="shared" si="0"/>
        <v>0</v>
      </c>
      <c r="H19" s="23"/>
      <c r="I19" s="77">
        <f t="shared" si="1"/>
        <v>0</v>
      </c>
      <c r="J19" s="27"/>
      <c r="K19" s="23"/>
      <c r="L19" s="24"/>
      <c r="M19" s="24"/>
      <c r="N19" s="74"/>
      <c r="O19" s="78">
        <f t="shared" si="5"/>
        <v>0</v>
      </c>
      <c r="P19" s="66">
        <f>MIN(IF(N19=0,0.72,CHOOSE(VLOOKUP(J19,'(内部データ)日除け効果'!$D$3:$E$10,2,FALSE),0.01*(5+20*(3*L19+M19)/N19),0.01*(10+15*(2*L19+M19)/N19))),0.72)</f>
        <v>0.72</v>
      </c>
      <c r="Q19" s="66">
        <f t="shared" si="4"/>
        <v>0</v>
      </c>
      <c r="R19" s="23"/>
      <c r="S19" s="77">
        <f t="shared" si="8"/>
        <v>0</v>
      </c>
      <c r="T19" s="76">
        <f t="shared" si="6"/>
        <v>0</v>
      </c>
      <c r="U19" s="66">
        <f>MIN(IF(N19=0,0.93,CHOOSE(IF(合計!$F$3=8,VLOOKUP(J19,'(内部データ)日除け効果'!$L$3:$M$10,2,FALSE),VLOOKUP(J19,'(内部データ)日除け効果'!$H$3:$I$10,2,FALSE)),0.01*(24+9*(3*L19+M19)/N19),0.01*(16+24*(2*L19+M19)/N19),0.01*(16+19*(2*L19+M19)/N19))),0.93)</f>
        <v>0.93</v>
      </c>
      <c r="V19" s="76">
        <f t="shared" si="7"/>
        <v>0</v>
      </c>
      <c r="W19" s="80"/>
      <c r="X19" s="77">
        <f t="shared" si="9"/>
        <v>0</v>
      </c>
    </row>
    <row r="20" spans="2:24" ht="30" customHeight="1" x14ac:dyDescent="0.15">
      <c r="B20" s="64">
        <v>15</v>
      </c>
      <c r="C20" s="28"/>
      <c r="D20" s="25"/>
      <c r="E20" s="26"/>
      <c r="F20" s="27"/>
      <c r="G20" s="76">
        <f t="shared" si="0"/>
        <v>0</v>
      </c>
      <c r="H20" s="23"/>
      <c r="I20" s="77">
        <f t="shared" si="1"/>
        <v>0</v>
      </c>
      <c r="J20" s="27"/>
      <c r="K20" s="23"/>
      <c r="L20" s="24"/>
      <c r="M20" s="24"/>
      <c r="N20" s="74"/>
      <c r="O20" s="78">
        <f t="shared" si="5"/>
        <v>0</v>
      </c>
      <c r="P20" s="66">
        <f>MIN(IF(N20=0,0.72,CHOOSE(VLOOKUP(J20,'(内部データ)日除け効果'!$D$3:$E$10,2,FALSE),0.01*(5+20*(3*L20+M20)/N20),0.01*(10+15*(2*L20+M20)/N20))),0.72)</f>
        <v>0.72</v>
      </c>
      <c r="Q20" s="66">
        <f t="shared" si="4"/>
        <v>0</v>
      </c>
      <c r="R20" s="23"/>
      <c r="S20" s="77">
        <f t="shared" si="8"/>
        <v>0</v>
      </c>
      <c r="T20" s="76">
        <f t="shared" si="6"/>
        <v>0</v>
      </c>
      <c r="U20" s="66">
        <f>MIN(IF(N20=0,0.93,CHOOSE(IF(合計!$F$3=8,VLOOKUP(J20,'(内部データ)日除け効果'!$L$3:$M$10,2,FALSE),VLOOKUP(J20,'(内部データ)日除け効果'!$H$3:$I$10,2,FALSE)),0.01*(24+9*(3*L20+M20)/N20),0.01*(16+24*(2*L20+M20)/N20),0.01*(16+19*(2*L20+M20)/N20))),0.93)</f>
        <v>0.93</v>
      </c>
      <c r="V20" s="76">
        <f t="shared" si="7"/>
        <v>0</v>
      </c>
      <c r="W20" s="80"/>
      <c r="X20" s="77">
        <f t="shared" si="9"/>
        <v>0</v>
      </c>
    </row>
    <row r="21" spans="2:24" ht="30" customHeight="1" x14ac:dyDescent="0.15">
      <c r="B21" s="64">
        <v>16</v>
      </c>
      <c r="C21" s="28"/>
      <c r="D21" s="25"/>
      <c r="E21" s="26"/>
      <c r="F21" s="27"/>
      <c r="G21" s="76">
        <f t="shared" si="0"/>
        <v>0</v>
      </c>
      <c r="H21" s="23"/>
      <c r="I21" s="77">
        <f t="shared" si="1"/>
        <v>0</v>
      </c>
      <c r="J21" s="27"/>
      <c r="K21" s="23"/>
      <c r="L21" s="24"/>
      <c r="M21" s="24"/>
      <c r="N21" s="74"/>
      <c r="O21" s="78">
        <f t="shared" si="5"/>
        <v>0</v>
      </c>
      <c r="P21" s="66">
        <f>MIN(IF(N21=0,0.72,CHOOSE(VLOOKUP(J21,'(内部データ)日除け効果'!$D$3:$E$10,2,FALSE),0.01*(5+20*(3*L21+M21)/N21),0.01*(10+15*(2*L21+M21)/N21))),0.72)</f>
        <v>0.72</v>
      </c>
      <c r="Q21" s="66">
        <f t="shared" si="4"/>
        <v>0</v>
      </c>
      <c r="R21" s="23"/>
      <c r="S21" s="77">
        <f t="shared" si="8"/>
        <v>0</v>
      </c>
      <c r="T21" s="76">
        <f t="shared" si="6"/>
        <v>0</v>
      </c>
      <c r="U21" s="66">
        <f>MIN(IF(N21=0,0.93,CHOOSE(IF(合計!$F$3=8,VLOOKUP(J21,'(内部データ)日除け効果'!$L$3:$M$10,2,FALSE),VLOOKUP(J21,'(内部データ)日除け効果'!$H$3:$I$10,2,FALSE)),0.01*(24+9*(3*L21+M21)/N21),0.01*(16+24*(2*L21+M21)/N21),0.01*(16+19*(2*L21+M21)/N21))),0.93)</f>
        <v>0.93</v>
      </c>
      <c r="V21" s="76">
        <f t="shared" si="7"/>
        <v>0</v>
      </c>
      <c r="W21" s="80"/>
      <c r="X21" s="77">
        <f t="shared" si="9"/>
        <v>0</v>
      </c>
    </row>
    <row r="22" spans="2:24" ht="30" customHeight="1" x14ac:dyDescent="0.15">
      <c r="B22" s="64">
        <v>17</v>
      </c>
      <c r="C22" s="28"/>
      <c r="D22" s="25"/>
      <c r="E22" s="26"/>
      <c r="F22" s="27"/>
      <c r="G22" s="76">
        <f t="shared" si="0"/>
        <v>0</v>
      </c>
      <c r="H22" s="23"/>
      <c r="I22" s="77">
        <f t="shared" si="1"/>
        <v>0</v>
      </c>
      <c r="J22" s="27"/>
      <c r="K22" s="23"/>
      <c r="L22" s="24"/>
      <c r="M22" s="24"/>
      <c r="N22" s="74"/>
      <c r="O22" s="78">
        <f t="shared" si="5"/>
        <v>0</v>
      </c>
      <c r="P22" s="66">
        <f>MIN(IF(N22=0,0.72,CHOOSE(VLOOKUP(J22,'(内部データ)日除け効果'!$D$3:$E$10,2,FALSE),0.01*(5+20*(3*L22+M22)/N22),0.01*(10+15*(2*L22+M22)/N22))),0.72)</f>
        <v>0.72</v>
      </c>
      <c r="Q22" s="66">
        <f t="shared" si="4"/>
        <v>0</v>
      </c>
      <c r="R22" s="23"/>
      <c r="S22" s="77">
        <f t="shared" si="8"/>
        <v>0</v>
      </c>
      <c r="T22" s="76">
        <f t="shared" si="6"/>
        <v>0</v>
      </c>
      <c r="U22" s="66">
        <f>MIN(IF(N22=0,0.93,CHOOSE(IF(合計!$F$3=8,VLOOKUP(J22,'(内部データ)日除け効果'!$L$3:$M$10,2,FALSE),VLOOKUP(J22,'(内部データ)日除け効果'!$H$3:$I$10,2,FALSE)),0.01*(24+9*(3*L22+M22)/N22),0.01*(16+24*(2*L22+M22)/N22),0.01*(16+19*(2*L22+M22)/N22))),0.93)</f>
        <v>0.93</v>
      </c>
      <c r="V22" s="76">
        <f t="shared" si="7"/>
        <v>0</v>
      </c>
      <c r="W22" s="80"/>
      <c r="X22" s="77">
        <f t="shared" si="9"/>
        <v>0</v>
      </c>
    </row>
    <row r="23" spans="2:24" ht="30" customHeight="1" x14ac:dyDescent="0.15">
      <c r="B23" s="64">
        <v>18</v>
      </c>
      <c r="C23" s="28"/>
      <c r="D23" s="25"/>
      <c r="E23" s="26"/>
      <c r="F23" s="27"/>
      <c r="G23" s="76">
        <f t="shared" si="0"/>
        <v>0</v>
      </c>
      <c r="H23" s="23"/>
      <c r="I23" s="77">
        <f t="shared" si="1"/>
        <v>0</v>
      </c>
      <c r="J23" s="27"/>
      <c r="K23" s="23"/>
      <c r="L23" s="24"/>
      <c r="M23" s="24"/>
      <c r="N23" s="74"/>
      <c r="O23" s="78">
        <f t="shared" si="5"/>
        <v>0</v>
      </c>
      <c r="P23" s="66">
        <f>MIN(IF(N23=0,0.72,CHOOSE(VLOOKUP(J23,'(内部データ)日除け効果'!$D$3:$E$10,2,FALSE),0.01*(5+20*(3*L23+M23)/N23),0.01*(10+15*(2*L23+M23)/N23))),0.72)</f>
        <v>0.72</v>
      </c>
      <c r="Q23" s="66">
        <f t="shared" si="4"/>
        <v>0</v>
      </c>
      <c r="R23" s="23"/>
      <c r="S23" s="77">
        <f t="shared" si="8"/>
        <v>0</v>
      </c>
      <c r="T23" s="76">
        <f t="shared" si="6"/>
        <v>0</v>
      </c>
      <c r="U23" s="66">
        <f>MIN(IF(N23=0,0.93,CHOOSE(IF(合計!$F$3=8,VLOOKUP(J23,'(内部データ)日除け効果'!$L$3:$M$10,2,FALSE),VLOOKUP(J23,'(内部データ)日除け効果'!$H$3:$I$10,2,FALSE)),0.01*(24+9*(3*L23+M23)/N23),0.01*(16+24*(2*L23+M23)/N23),0.01*(16+19*(2*L23+M23)/N23))),0.93)</f>
        <v>0.93</v>
      </c>
      <c r="V23" s="76">
        <f t="shared" si="7"/>
        <v>0</v>
      </c>
      <c r="W23" s="80"/>
      <c r="X23" s="77">
        <f t="shared" si="9"/>
        <v>0</v>
      </c>
    </row>
    <row r="24" spans="2:24" ht="30" customHeight="1" x14ac:dyDescent="0.15">
      <c r="B24" s="64">
        <v>19</v>
      </c>
      <c r="C24" s="28"/>
      <c r="D24" s="25"/>
      <c r="E24" s="26"/>
      <c r="F24" s="27"/>
      <c r="G24" s="76">
        <f t="shared" si="0"/>
        <v>0</v>
      </c>
      <c r="H24" s="23"/>
      <c r="I24" s="77">
        <f t="shared" si="1"/>
        <v>0</v>
      </c>
      <c r="J24" s="27"/>
      <c r="K24" s="23"/>
      <c r="L24" s="24"/>
      <c r="M24" s="24"/>
      <c r="N24" s="74"/>
      <c r="O24" s="78">
        <f t="shared" si="5"/>
        <v>0</v>
      </c>
      <c r="P24" s="66">
        <f>MIN(IF(N24=0,0.72,CHOOSE(VLOOKUP(J24,'(内部データ)日除け効果'!$D$3:$E$10,2,FALSE),0.01*(5+20*(3*L24+M24)/N24),0.01*(10+15*(2*L24+M24)/N24))),0.72)</f>
        <v>0.72</v>
      </c>
      <c r="Q24" s="66">
        <f t="shared" si="4"/>
        <v>0</v>
      </c>
      <c r="R24" s="23"/>
      <c r="S24" s="77">
        <f t="shared" si="8"/>
        <v>0</v>
      </c>
      <c r="T24" s="76">
        <f t="shared" si="6"/>
        <v>0</v>
      </c>
      <c r="U24" s="66">
        <f>MIN(IF(N24=0,0.93,CHOOSE(IF(合計!$F$3=8,VLOOKUP(J24,'(内部データ)日除け効果'!$L$3:$M$10,2,FALSE),VLOOKUP(J24,'(内部データ)日除け効果'!$H$3:$I$10,2,FALSE)),0.01*(24+9*(3*L24+M24)/N24),0.01*(16+24*(2*L24+M24)/N24),0.01*(16+19*(2*L24+M24)/N24))),0.93)</f>
        <v>0.93</v>
      </c>
      <c r="V24" s="76">
        <f t="shared" si="7"/>
        <v>0</v>
      </c>
      <c r="W24" s="80"/>
      <c r="X24" s="77">
        <f t="shared" si="9"/>
        <v>0</v>
      </c>
    </row>
    <row r="25" spans="2:24" ht="30" customHeight="1" x14ac:dyDescent="0.15">
      <c r="B25" s="64">
        <v>20</v>
      </c>
      <c r="C25" s="28"/>
      <c r="D25" s="25"/>
      <c r="E25" s="26"/>
      <c r="F25" s="27"/>
      <c r="G25" s="76">
        <f t="shared" si="0"/>
        <v>0</v>
      </c>
      <c r="H25" s="23"/>
      <c r="I25" s="77">
        <f t="shared" si="1"/>
        <v>0</v>
      </c>
      <c r="J25" s="27"/>
      <c r="K25" s="23"/>
      <c r="L25" s="24"/>
      <c r="M25" s="24"/>
      <c r="N25" s="74"/>
      <c r="O25" s="78">
        <f t="shared" si="5"/>
        <v>0</v>
      </c>
      <c r="P25" s="66">
        <f>MIN(IF(N25=0,0.72,CHOOSE(VLOOKUP(J25,'(内部データ)日除け効果'!$D$3:$E$10,2,FALSE),0.01*(5+20*(3*L25+M25)/N25),0.01*(10+15*(2*L25+M25)/N25))),0.72)</f>
        <v>0.72</v>
      </c>
      <c r="Q25" s="66">
        <f t="shared" si="4"/>
        <v>0</v>
      </c>
      <c r="R25" s="23"/>
      <c r="S25" s="77">
        <f t="shared" si="8"/>
        <v>0</v>
      </c>
      <c r="T25" s="76">
        <f t="shared" si="6"/>
        <v>0</v>
      </c>
      <c r="U25" s="66">
        <f>MIN(IF(N25=0,0.93,CHOOSE(IF(合計!$F$3=8,VLOOKUP(J25,'(内部データ)日除け効果'!$L$3:$M$10,2,FALSE),VLOOKUP(J25,'(内部データ)日除け効果'!$H$3:$I$10,2,FALSE)),0.01*(24+9*(3*L25+M25)/N25),0.01*(16+24*(2*L25+M25)/N25),0.01*(16+19*(2*L25+M25)/N25))),0.93)</f>
        <v>0.93</v>
      </c>
      <c r="V25" s="76">
        <f t="shared" si="7"/>
        <v>0</v>
      </c>
      <c r="W25" s="80"/>
      <c r="X25" s="77">
        <f t="shared" si="9"/>
        <v>0</v>
      </c>
    </row>
    <row r="26" spans="2:24" ht="30" customHeight="1" x14ac:dyDescent="0.15">
      <c r="B26" s="64">
        <v>21</v>
      </c>
      <c r="C26" s="28"/>
      <c r="D26" s="25"/>
      <c r="E26" s="26"/>
      <c r="F26" s="27"/>
      <c r="G26" s="76">
        <f t="shared" si="0"/>
        <v>0</v>
      </c>
      <c r="H26" s="23"/>
      <c r="I26" s="77">
        <f t="shared" si="1"/>
        <v>0</v>
      </c>
      <c r="J26" s="27"/>
      <c r="K26" s="23"/>
      <c r="L26" s="24"/>
      <c r="M26" s="24"/>
      <c r="N26" s="74"/>
      <c r="O26" s="78">
        <f t="shared" si="5"/>
        <v>0</v>
      </c>
      <c r="P26" s="66">
        <f>MIN(IF(N26=0,0.72,CHOOSE(VLOOKUP(J26,'(内部データ)日除け効果'!$D$3:$E$10,2,FALSE),0.01*(5+20*(3*L26+M26)/N26),0.01*(10+15*(2*L26+M26)/N26))),0.72)</f>
        <v>0.72</v>
      </c>
      <c r="Q26" s="66">
        <f t="shared" si="4"/>
        <v>0</v>
      </c>
      <c r="R26" s="23"/>
      <c r="S26" s="77">
        <f t="shared" si="8"/>
        <v>0</v>
      </c>
      <c r="T26" s="76">
        <f t="shared" si="6"/>
        <v>0</v>
      </c>
      <c r="U26" s="66">
        <f>MIN(IF(N26=0,0.93,CHOOSE(IF(合計!$F$3=8,VLOOKUP(J26,'(内部データ)日除け効果'!$L$3:$M$10,2,FALSE),VLOOKUP(J26,'(内部データ)日除け効果'!$H$3:$I$10,2,FALSE)),0.01*(24+9*(3*L26+M26)/N26),0.01*(16+24*(2*L26+M26)/N26),0.01*(16+19*(2*L26+M26)/N26))),0.93)</f>
        <v>0.93</v>
      </c>
      <c r="V26" s="76">
        <f t="shared" si="7"/>
        <v>0</v>
      </c>
      <c r="W26" s="80"/>
      <c r="X26" s="77">
        <f t="shared" si="9"/>
        <v>0</v>
      </c>
    </row>
    <row r="27" spans="2:24" ht="30" customHeight="1" x14ac:dyDescent="0.15">
      <c r="B27" s="64">
        <v>22</v>
      </c>
      <c r="C27" s="28"/>
      <c r="D27" s="25"/>
      <c r="E27" s="26"/>
      <c r="F27" s="27"/>
      <c r="G27" s="76">
        <f t="shared" si="0"/>
        <v>0</v>
      </c>
      <c r="H27" s="23"/>
      <c r="I27" s="77">
        <f t="shared" si="1"/>
        <v>0</v>
      </c>
      <c r="J27" s="27"/>
      <c r="K27" s="23"/>
      <c r="L27" s="24"/>
      <c r="M27" s="24"/>
      <c r="N27" s="74"/>
      <c r="O27" s="78">
        <f t="shared" si="5"/>
        <v>0</v>
      </c>
      <c r="P27" s="66">
        <f>MIN(IF(N27=0,0.72,CHOOSE(VLOOKUP(J27,'(内部データ)日除け効果'!$D$3:$E$10,2,FALSE),0.01*(5+20*(3*L27+M27)/N27),0.01*(10+15*(2*L27+M27)/N27))),0.72)</f>
        <v>0.72</v>
      </c>
      <c r="Q27" s="66">
        <f t="shared" si="4"/>
        <v>0</v>
      </c>
      <c r="R27" s="23"/>
      <c r="S27" s="77">
        <f t="shared" si="8"/>
        <v>0</v>
      </c>
      <c r="T27" s="76">
        <f t="shared" si="6"/>
        <v>0</v>
      </c>
      <c r="U27" s="66">
        <f>MIN(IF(N27=0,0.93,CHOOSE(IF(合計!$F$3=8,VLOOKUP(J27,'(内部データ)日除け効果'!$L$3:$M$10,2,FALSE),VLOOKUP(J27,'(内部データ)日除け効果'!$H$3:$I$10,2,FALSE)),0.01*(24+9*(3*L27+M27)/N27),0.01*(16+24*(2*L27+M27)/N27),0.01*(16+19*(2*L27+M27)/N27))),0.93)</f>
        <v>0.93</v>
      </c>
      <c r="V27" s="76">
        <f t="shared" si="7"/>
        <v>0</v>
      </c>
      <c r="W27" s="80"/>
      <c r="X27" s="77">
        <f t="shared" si="9"/>
        <v>0</v>
      </c>
    </row>
    <row r="28" spans="2:24" ht="30" customHeight="1" x14ac:dyDescent="0.15">
      <c r="B28" s="64">
        <v>23</v>
      </c>
      <c r="C28" s="28"/>
      <c r="D28" s="25"/>
      <c r="E28" s="26"/>
      <c r="F28" s="27"/>
      <c r="G28" s="76">
        <f t="shared" si="0"/>
        <v>0</v>
      </c>
      <c r="H28" s="23"/>
      <c r="I28" s="77">
        <f t="shared" si="1"/>
        <v>0</v>
      </c>
      <c r="J28" s="27"/>
      <c r="K28" s="23"/>
      <c r="L28" s="24"/>
      <c r="M28" s="24"/>
      <c r="N28" s="74"/>
      <c r="O28" s="78">
        <f t="shared" si="5"/>
        <v>0</v>
      </c>
      <c r="P28" s="66">
        <f>MIN(IF(N28=0,0.72,CHOOSE(VLOOKUP(J28,'(内部データ)日除け効果'!$D$3:$E$10,2,FALSE),0.01*(5+20*(3*L28+M28)/N28),0.01*(10+15*(2*L28+M28)/N28))),0.72)</f>
        <v>0.72</v>
      </c>
      <c r="Q28" s="66">
        <f t="shared" si="4"/>
        <v>0</v>
      </c>
      <c r="R28" s="23"/>
      <c r="S28" s="77">
        <f t="shared" si="8"/>
        <v>0</v>
      </c>
      <c r="T28" s="76">
        <f t="shared" si="6"/>
        <v>0</v>
      </c>
      <c r="U28" s="66">
        <f>MIN(IF(N28=0,0.93,CHOOSE(IF(合計!$F$3=8,VLOOKUP(J28,'(内部データ)日除け効果'!$L$3:$M$10,2,FALSE),VLOOKUP(J28,'(内部データ)日除け効果'!$H$3:$I$10,2,FALSE)),0.01*(24+9*(3*L28+M28)/N28),0.01*(16+24*(2*L28+M28)/N28),0.01*(16+19*(2*L28+M28)/N28))),0.93)</f>
        <v>0.93</v>
      </c>
      <c r="V28" s="76">
        <f t="shared" si="7"/>
        <v>0</v>
      </c>
      <c r="W28" s="80"/>
      <c r="X28" s="77">
        <f t="shared" si="9"/>
        <v>0</v>
      </c>
    </row>
    <row r="29" spans="2:24" ht="30" customHeight="1" x14ac:dyDescent="0.15">
      <c r="B29" s="64">
        <v>24</v>
      </c>
      <c r="C29" s="28"/>
      <c r="D29" s="25"/>
      <c r="E29" s="26"/>
      <c r="F29" s="27"/>
      <c r="G29" s="76">
        <f t="shared" si="0"/>
        <v>0</v>
      </c>
      <c r="H29" s="23"/>
      <c r="I29" s="77">
        <f t="shared" si="1"/>
        <v>0</v>
      </c>
      <c r="J29" s="27"/>
      <c r="K29" s="23"/>
      <c r="L29" s="24"/>
      <c r="M29" s="24"/>
      <c r="N29" s="74"/>
      <c r="O29" s="78">
        <f t="shared" si="5"/>
        <v>0</v>
      </c>
      <c r="P29" s="66">
        <f>MIN(IF(N29=0,0.72,CHOOSE(VLOOKUP(J29,'(内部データ)日除け効果'!$D$3:$E$10,2,FALSE),0.01*(5+20*(3*L29+M29)/N29),0.01*(10+15*(2*L29+M29)/N29))),0.72)</f>
        <v>0.72</v>
      </c>
      <c r="Q29" s="66">
        <f t="shared" si="4"/>
        <v>0</v>
      </c>
      <c r="R29" s="23"/>
      <c r="S29" s="77">
        <f t="shared" si="8"/>
        <v>0</v>
      </c>
      <c r="T29" s="76">
        <f t="shared" si="6"/>
        <v>0</v>
      </c>
      <c r="U29" s="66">
        <f>MIN(IF(N29=0,0.93,CHOOSE(IF(合計!$F$3=8,VLOOKUP(J29,'(内部データ)日除け効果'!$L$3:$M$10,2,FALSE),VLOOKUP(J29,'(内部データ)日除け効果'!$H$3:$I$10,2,FALSE)),0.01*(24+9*(3*L29+M29)/N29),0.01*(16+24*(2*L29+M29)/N29),0.01*(16+19*(2*L29+M29)/N29))),0.93)</f>
        <v>0.93</v>
      </c>
      <c r="V29" s="76">
        <f t="shared" si="7"/>
        <v>0</v>
      </c>
      <c r="W29" s="80"/>
      <c r="X29" s="77">
        <f t="shared" si="9"/>
        <v>0</v>
      </c>
    </row>
    <row r="30" spans="2:24" ht="30" customHeight="1" x14ac:dyDescent="0.15">
      <c r="B30" s="64">
        <v>25</v>
      </c>
      <c r="C30" s="28"/>
      <c r="D30" s="25"/>
      <c r="E30" s="26"/>
      <c r="F30" s="27"/>
      <c r="G30" s="76">
        <f t="shared" si="0"/>
        <v>0</v>
      </c>
      <c r="H30" s="23"/>
      <c r="I30" s="77">
        <f t="shared" si="1"/>
        <v>0</v>
      </c>
      <c r="J30" s="27"/>
      <c r="K30" s="23"/>
      <c r="L30" s="24"/>
      <c r="M30" s="24"/>
      <c r="N30" s="74"/>
      <c r="O30" s="78">
        <f t="shared" si="5"/>
        <v>0</v>
      </c>
      <c r="P30" s="66">
        <f>MIN(IF(N30=0,0.72,CHOOSE(VLOOKUP(J30,'(内部データ)日除け効果'!$D$3:$E$10,2,FALSE),0.01*(5+20*(3*L30+M30)/N30),0.01*(10+15*(2*L30+M30)/N30))),0.72)</f>
        <v>0.72</v>
      </c>
      <c r="Q30" s="66">
        <f t="shared" si="4"/>
        <v>0</v>
      </c>
      <c r="R30" s="23"/>
      <c r="S30" s="77">
        <f t="shared" si="8"/>
        <v>0</v>
      </c>
      <c r="T30" s="76">
        <f t="shared" si="6"/>
        <v>0</v>
      </c>
      <c r="U30" s="66">
        <f>MIN(IF(N30=0,0.93,CHOOSE(IF(合計!$F$3=8,VLOOKUP(J30,'(内部データ)日除け効果'!$L$3:$M$10,2,FALSE),VLOOKUP(J30,'(内部データ)日除け効果'!$H$3:$I$10,2,FALSE)),0.01*(24+9*(3*L30+M30)/N30),0.01*(16+24*(2*L30+M30)/N30),0.01*(16+19*(2*L30+M30)/N30))),0.93)</f>
        <v>0.93</v>
      </c>
      <c r="V30" s="76">
        <f t="shared" si="7"/>
        <v>0</v>
      </c>
      <c r="W30" s="80"/>
      <c r="X30" s="77">
        <f t="shared" si="9"/>
        <v>0</v>
      </c>
    </row>
    <row r="31" spans="2:24" ht="30" customHeight="1" x14ac:dyDescent="0.15">
      <c r="B31" s="64">
        <v>26</v>
      </c>
      <c r="C31" s="28"/>
      <c r="D31" s="25"/>
      <c r="E31" s="26"/>
      <c r="F31" s="27"/>
      <c r="G31" s="76">
        <f t="shared" si="0"/>
        <v>0</v>
      </c>
      <c r="H31" s="23"/>
      <c r="I31" s="77">
        <f t="shared" si="1"/>
        <v>0</v>
      </c>
      <c r="J31" s="27"/>
      <c r="K31" s="23"/>
      <c r="L31" s="24"/>
      <c r="M31" s="24"/>
      <c r="N31" s="74"/>
      <c r="O31" s="78">
        <f t="shared" si="5"/>
        <v>0</v>
      </c>
      <c r="P31" s="66">
        <f>MIN(IF(N31=0,0.72,CHOOSE(VLOOKUP(J31,'(内部データ)日除け効果'!$D$3:$E$10,2,FALSE),0.01*(5+20*(3*L31+M31)/N31),0.01*(10+15*(2*L31+M31)/N31))),0.72)</f>
        <v>0.72</v>
      </c>
      <c r="Q31" s="66">
        <f t="shared" si="4"/>
        <v>0</v>
      </c>
      <c r="R31" s="23"/>
      <c r="S31" s="77">
        <f t="shared" si="8"/>
        <v>0</v>
      </c>
      <c r="T31" s="76">
        <f t="shared" si="6"/>
        <v>0</v>
      </c>
      <c r="U31" s="66">
        <f>MIN(IF(N31=0,0.93,CHOOSE(IF(合計!$F$3=8,VLOOKUP(J31,'(内部データ)日除け効果'!$L$3:$M$10,2,FALSE),VLOOKUP(J31,'(内部データ)日除け効果'!$H$3:$I$10,2,FALSE)),0.01*(24+9*(3*L31+M31)/N31),0.01*(16+24*(2*L31+M31)/N31),0.01*(16+19*(2*L31+M31)/N31))),0.93)</f>
        <v>0.93</v>
      </c>
      <c r="V31" s="76">
        <f t="shared" si="7"/>
        <v>0</v>
      </c>
      <c r="W31" s="80"/>
      <c r="X31" s="77">
        <f t="shared" si="9"/>
        <v>0</v>
      </c>
    </row>
    <row r="32" spans="2:24" ht="30" customHeight="1" x14ac:dyDescent="0.15">
      <c r="B32" s="64">
        <v>27</v>
      </c>
      <c r="C32" s="28"/>
      <c r="D32" s="25"/>
      <c r="E32" s="26"/>
      <c r="F32" s="27"/>
      <c r="G32" s="76">
        <f t="shared" si="0"/>
        <v>0</v>
      </c>
      <c r="H32" s="23"/>
      <c r="I32" s="77">
        <f t="shared" si="1"/>
        <v>0</v>
      </c>
      <c r="J32" s="27"/>
      <c r="K32" s="23"/>
      <c r="L32" s="24"/>
      <c r="M32" s="24"/>
      <c r="N32" s="74"/>
      <c r="O32" s="78">
        <f t="shared" si="5"/>
        <v>0</v>
      </c>
      <c r="P32" s="66">
        <f>MIN(IF(N32=0,0.72,CHOOSE(VLOOKUP(J32,'(内部データ)日除け効果'!$D$3:$E$10,2,FALSE),0.01*(5+20*(3*L32+M32)/N32),0.01*(10+15*(2*L32+M32)/N32))),0.72)</f>
        <v>0.72</v>
      </c>
      <c r="Q32" s="66">
        <f t="shared" si="4"/>
        <v>0</v>
      </c>
      <c r="R32" s="23"/>
      <c r="S32" s="77">
        <f t="shared" si="8"/>
        <v>0</v>
      </c>
      <c r="T32" s="76">
        <f t="shared" si="6"/>
        <v>0</v>
      </c>
      <c r="U32" s="66">
        <f>MIN(IF(N32=0,0.93,CHOOSE(IF(合計!$F$3=8,VLOOKUP(J32,'(内部データ)日除け効果'!$L$3:$M$10,2,FALSE),VLOOKUP(J32,'(内部データ)日除け効果'!$H$3:$I$10,2,FALSE)),0.01*(24+9*(3*L32+M32)/N32),0.01*(16+24*(2*L32+M32)/N32),0.01*(16+19*(2*L32+M32)/N32))),0.93)</f>
        <v>0.93</v>
      </c>
      <c r="V32" s="76">
        <f t="shared" si="7"/>
        <v>0</v>
      </c>
      <c r="W32" s="80"/>
      <c r="X32" s="77">
        <f t="shared" si="9"/>
        <v>0</v>
      </c>
    </row>
    <row r="33" spans="2:24" ht="30" customHeight="1" x14ac:dyDescent="0.15">
      <c r="B33" s="64">
        <v>28</v>
      </c>
      <c r="C33" s="28"/>
      <c r="D33" s="25"/>
      <c r="E33" s="26"/>
      <c r="F33" s="27"/>
      <c r="G33" s="76">
        <f t="shared" si="0"/>
        <v>0</v>
      </c>
      <c r="H33" s="23"/>
      <c r="I33" s="77">
        <f t="shared" si="1"/>
        <v>0</v>
      </c>
      <c r="J33" s="27"/>
      <c r="K33" s="23"/>
      <c r="L33" s="24"/>
      <c r="M33" s="24"/>
      <c r="N33" s="74"/>
      <c r="O33" s="78">
        <f t="shared" si="5"/>
        <v>0</v>
      </c>
      <c r="P33" s="66">
        <f>MIN(IF(N33=0,0.72,CHOOSE(VLOOKUP(J33,'(内部データ)日除け効果'!$D$3:$E$10,2,FALSE),0.01*(5+20*(3*L33+M33)/N33),0.01*(10+15*(2*L33+M33)/N33))),0.72)</f>
        <v>0.72</v>
      </c>
      <c r="Q33" s="66">
        <f t="shared" si="4"/>
        <v>0</v>
      </c>
      <c r="R33" s="23"/>
      <c r="S33" s="77">
        <f t="shared" si="8"/>
        <v>0</v>
      </c>
      <c r="T33" s="76">
        <f t="shared" si="6"/>
        <v>0</v>
      </c>
      <c r="U33" s="66">
        <f>MIN(IF(N33=0,0.93,CHOOSE(IF(合計!$F$3=8,VLOOKUP(J33,'(内部データ)日除け効果'!$L$3:$M$10,2,FALSE),VLOOKUP(J33,'(内部データ)日除け効果'!$H$3:$I$10,2,FALSE)),0.01*(24+9*(3*L33+M33)/N33),0.01*(16+24*(2*L33+M33)/N33),0.01*(16+19*(2*L33+M33)/N33))),0.93)</f>
        <v>0.93</v>
      </c>
      <c r="V33" s="76">
        <f t="shared" si="7"/>
        <v>0</v>
      </c>
      <c r="W33" s="80"/>
      <c r="X33" s="77">
        <f t="shared" si="9"/>
        <v>0</v>
      </c>
    </row>
    <row r="34" spans="2:24" ht="30" customHeight="1" x14ac:dyDescent="0.15">
      <c r="B34" s="64">
        <v>29</v>
      </c>
      <c r="C34" s="28"/>
      <c r="D34" s="25"/>
      <c r="E34" s="26"/>
      <c r="F34" s="27"/>
      <c r="G34" s="76">
        <f t="shared" si="0"/>
        <v>0</v>
      </c>
      <c r="H34" s="23"/>
      <c r="I34" s="77">
        <f t="shared" si="1"/>
        <v>0</v>
      </c>
      <c r="J34" s="27"/>
      <c r="K34" s="23"/>
      <c r="L34" s="24"/>
      <c r="M34" s="24"/>
      <c r="N34" s="74"/>
      <c r="O34" s="78">
        <f t="shared" si="5"/>
        <v>0</v>
      </c>
      <c r="P34" s="66">
        <f>MIN(IF(N34=0,0.72,CHOOSE(VLOOKUP(J34,'(内部データ)日除け効果'!$D$3:$E$10,2,FALSE),0.01*(5+20*(3*L34+M34)/N34),0.01*(10+15*(2*L34+M34)/N34))),0.72)</f>
        <v>0.72</v>
      </c>
      <c r="Q34" s="66">
        <f t="shared" si="4"/>
        <v>0</v>
      </c>
      <c r="R34" s="23"/>
      <c r="S34" s="77">
        <f t="shared" si="8"/>
        <v>0</v>
      </c>
      <c r="T34" s="76">
        <f t="shared" si="6"/>
        <v>0</v>
      </c>
      <c r="U34" s="66">
        <f>MIN(IF(N34=0,0.93,CHOOSE(IF(合計!$F$3=8,VLOOKUP(J34,'(内部データ)日除け効果'!$L$3:$M$10,2,FALSE),VLOOKUP(J34,'(内部データ)日除け効果'!$H$3:$I$10,2,FALSE)),0.01*(24+9*(3*L34+M34)/N34),0.01*(16+24*(2*L34+M34)/N34),0.01*(16+19*(2*L34+M34)/N34))),0.93)</f>
        <v>0.93</v>
      </c>
      <c r="V34" s="76">
        <f t="shared" si="7"/>
        <v>0</v>
      </c>
      <c r="W34" s="80"/>
      <c r="X34" s="77">
        <f t="shared" si="9"/>
        <v>0</v>
      </c>
    </row>
    <row r="35" spans="2:24" ht="30" customHeight="1" thickBot="1" x14ac:dyDescent="0.2">
      <c r="B35" s="14">
        <v>30</v>
      </c>
      <c r="C35" s="33"/>
      <c r="D35" s="29"/>
      <c r="E35" s="30"/>
      <c r="F35" s="31"/>
      <c r="G35" s="67">
        <f t="shared" si="0"/>
        <v>0</v>
      </c>
      <c r="H35" s="32"/>
      <c r="I35" s="63">
        <f t="shared" si="1"/>
        <v>0</v>
      </c>
      <c r="J35" s="31"/>
      <c r="K35" s="32"/>
      <c r="L35" s="32"/>
      <c r="M35" s="32"/>
      <c r="N35" s="75"/>
      <c r="O35" s="53">
        <f>K35</f>
        <v>0</v>
      </c>
      <c r="P35" s="67">
        <f>MIN(IF(N35=0,0.72,CHOOSE(VLOOKUP(J35,'(内部データ)日除け効果'!$D$3:$E$10,2,FALSE),0.01*(5+20*(3*L35+M35)/N35),0.01*(10+15*(2*L35+M35)/N35))),0.72)</f>
        <v>0.72</v>
      </c>
      <c r="Q35" s="67">
        <f t="shared" si="4"/>
        <v>0</v>
      </c>
      <c r="R35" s="32"/>
      <c r="S35" s="63">
        <f t="shared" si="8"/>
        <v>0</v>
      </c>
      <c r="T35" s="67">
        <f t="shared" si="6"/>
        <v>0</v>
      </c>
      <c r="U35" s="67">
        <f>MIN(IF(N35=0,0.93,CHOOSE(IF(合計!$F$3=8,VLOOKUP(J35,'(内部データ)日除け効果'!$L$3:$M$10,2,FALSE),VLOOKUP(J35,'(内部データ)日除け効果'!$H$3:$I$10,2,FALSE)),0.01*(24+9*(3*L35+M35)/N35),0.01*(16+24*(2*L35+M35)/N35),0.01*(16+19*(2*L35+M35)/N35))),0.93)</f>
        <v>0.93</v>
      </c>
      <c r="V35" s="67">
        <f t="shared" si="7"/>
        <v>0</v>
      </c>
      <c r="W35" s="81"/>
      <c r="X35" s="63">
        <f t="shared" si="9"/>
        <v>0</v>
      </c>
    </row>
    <row r="36" spans="2:24" ht="16.5" thickBot="1" x14ac:dyDescent="0.2"/>
    <row r="37" spans="2:24" ht="16.5" thickBot="1" x14ac:dyDescent="0.2">
      <c r="F37" s="12" t="s">
        <v>57</v>
      </c>
      <c r="G37" s="34">
        <f>SUM(G6:G35)</f>
        <v>23.712499999999999</v>
      </c>
      <c r="H37" s="12" t="s">
        <v>57</v>
      </c>
      <c r="I37" s="34">
        <f>SUM(I6:I35)</f>
        <v>154.36837500000001</v>
      </c>
      <c r="J37" s="69"/>
      <c r="K37" s="69"/>
      <c r="L37" s="69"/>
      <c r="M37" s="69"/>
      <c r="N37" s="69"/>
      <c r="R37" s="12" t="s">
        <v>57</v>
      </c>
      <c r="S37" s="34">
        <f>SUM(S6:S35)</f>
        <v>5.2877777923762741</v>
      </c>
      <c r="W37" s="12" t="s">
        <v>57</v>
      </c>
      <c r="X37" s="34">
        <f>SUM(X6:X35)</f>
        <v>7.5156753706067096</v>
      </c>
    </row>
  </sheetData>
  <mergeCells count="8">
    <mergeCell ref="T3:X3"/>
    <mergeCell ref="F3:I3"/>
    <mergeCell ref="C4:C5"/>
    <mergeCell ref="D4:D5"/>
    <mergeCell ref="O3:S3"/>
    <mergeCell ref="B3:D3"/>
    <mergeCell ref="B4:B5"/>
    <mergeCell ref="J3:N3"/>
  </mergeCells>
  <phoneticPr fontId="2"/>
  <dataValidations count="1">
    <dataValidation type="list" allowBlank="1" showInputMessage="1" showErrorMessage="1" sqref="J6:J35">
      <formula1>方位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Width="3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view="pageBreakPreview" zoomScale="75" zoomScaleNormal="100" zoomScaleSheetLayoutView="75" workbookViewId="0">
      <selection activeCell="F7" sqref="F7"/>
    </sheetView>
  </sheetViews>
  <sheetFormatPr defaultRowHeight="15.75" x14ac:dyDescent="0.15"/>
  <cols>
    <col min="1" max="1" width="3.5" style="12" customWidth="1"/>
    <col min="2" max="3" width="16.25" style="12" customWidth="1"/>
    <col min="4" max="4" width="12.625" style="12" bestFit="1" customWidth="1"/>
    <col min="5" max="5" width="10.125" style="12" customWidth="1"/>
    <col min="6" max="6" width="13.625" style="12" bestFit="1" customWidth="1"/>
    <col min="7" max="7" width="18" style="12" customWidth="1"/>
    <col min="8" max="8" width="9" style="12"/>
    <col min="9" max="9" width="17.375" style="12" customWidth="1"/>
    <col min="10" max="10" width="14.75" style="12" bestFit="1" customWidth="1"/>
    <col min="11" max="11" width="3.5" style="12" customWidth="1"/>
    <col min="12" max="16384" width="9" style="12"/>
  </cols>
  <sheetData>
    <row r="2" spans="2:10" ht="21.75" thickBot="1" x14ac:dyDescent="0.2">
      <c r="B2" s="37" t="s">
        <v>230</v>
      </c>
      <c r="I2" s="37" t="s">
        <v>229</v>
      </c>
    </row>
    <row r="3" spans="2:10" ht="30" customHeight="1" thickBot="1" x14ac:dyDescent="0.2">
      <c r="B3" s="166" t="s">
        <v>51</v>
      </c>
      <c r="C3" s="168"/>
      <c r="D3" s="169" t="s">
        <v>37</v>
      </c>
      <c r="E3" s="167"/>
      <c r="F3" s="167"/>
      <c r="G3" s="168"/>
      <c r="I3" s="85" t="s">
        <v>204</v>
      </c>
      <c r="J3" s="85" t="s">
        <v>207</v>
      </c>
    </row>
    <row r="4" spans="2:10" ht="30" customHeight="1" x14ac:dyDescent="0.15">
      <c r="B4" s="180" t="s">
        <v>2</v>
      </c>
      <c r="C4" s="180" t="s">
        <v>3</v>
      </c>
      <c r="D4" s="3" t="s">
        <v>52</v>
      </c>
      <c r="E4" s="4" t="s">
        <v>53</v>
      </c>
      <c r="F4" s="4" t="s">
        <v>55</v>
      </c>
      <c r="G4" s="6" t="s">
        <v>54</v>
      </c>
      <c r="I4" s="180" t="s">
        <v>205</v>
      </c>
      <c r="J4" s="190" t="s">
        <v>206</v>
      </c>
    </row>
    <row r="5" spans="2:10" ht="16.5" thickBot="1" x14ac:dyDescent="0.2">
      <c r="B5" s="189"/>
      <c r="C5" s="189"/>
      <c r="D5" s="7" t="s">
        <v>38</v>
      </c>
      <c r="E5" s="8" t="s">
        <v>43</v>
      </c>
      <c r="F5" s="9" t="s">
        <v>43</v>
      </c>
      <c r="G5" s="10" t="s">
        <v>56</v>
      </c>
      <c r="I5" s="189"/>
      <c r="J5" s="189"/>
    </row>
    <row r="6" spans="2:10" ht="30" customHeight="1" x14ac:dyDescent="0.15">
      <c r="B6" s="15" t="s">
        <v>113</v>
      </c>
      <c r="C6" s="15" t="s">
        <v>111</v>
      </c>
      <c r="D6" s="17">
        <v>1.8</v>
      </c>
      <c r="E6" s="18">
        <f>1.47</f>
        <v>1.47</v>
      </c>
      <c r="F6" s="18">
        <v>1</v>
      </c>
      <c r="G6" s="60">
        <f>D6*E6*F6</f>
        <v>2.6459999999999999</v>
      </c>
      <c r="I6" s="15" t="s">
        <v>113</v>
      </c>
      <c r="J6" s="144">
        <v>3</v>
      </c>
    </row>
    <row r="7" spans="2:10" ht="30" customHeight="1" x14ac:dyDescent="0.15">
      <c r="B7" s="25" t="s">
        <v>112</v>
      </c>
      <c r="C7" s="25" t="s">
        <v>111</v>
      </c>
      <c r="D7" s="27">
        <v>1.8</v>
      </c>
      <c r="E7" s="23">
        <v>1.47</v>
      </c>
      <c r="F7" s="23">
        <v>1</v>
      </c>
      <c r="G7" s="61">
        <f>D7*E7*F7</f>
        <v>2.6459999999999999</v>
      </c>
      <c r="I7" s="25" t="s">
        <v>112</v>
      </c>
      <c r="J7" s="145"/>
    </row>
    <row r="8" spans="2:10" ht="30" customHeight="1" x14ac:dyDescent="0.15">
      <c r="B8" s="25" t="s">
        <v>114</v>
      </c>
      <c r="C8" s="25" t="s">
        <v>111</v>
      </c>
      <c r="D8" s="27">
        <v>1.8</v>
      </c>
      <c r="E8" s="23">
        <f>2.955+2.01+3.9</f>
        <v>8.8650000000000002</v>
      </c>
      <c r="F8" s="23">
        <v>1</v>
      </c>
      <c r="G8" s="61">
        <f>D8*E8*F8</f>
        <v>15.957000000000001</v>
      </c>
      <c r="I8" s="25" t="s">
        <v>114</v>
      </c>
      <c r="J8" s="145"/>
    </row>
    <row r="9" spans="2:10" ht="30" customHeight="1" x14ac:dyDescent="0.15">
      <c r="B9" s="25" t="s">
        <v>115</v>
      </c>
      <c r="C9" s="25" t="s">
        <v>111</v>
      </c>
      <c r="D9" s="27">
        <v>1.8</v>
      </c>
      <c r="E9" s="23">
        <f>2.955+2.01+3.9</f>
        <v>8.8650000000000002</v>
      </c>
      <c r="F9" s="23">
        <v>0.7</v>
      </c>
      <c r="G9" s="61">
        <f>D9*E9*F9</f>
        <v>11.1699</v>
      </c>
      <c r="I9" s="25" t="s">
        <v>115</v>
      </c>
      <c r="J9" s="145"/>
    </row>
    <row r="10" spans="2:10" ht="30" customHeight="1" x14ac:dyDescent="0.15">
      <c r="B10" s="25"/>
      <c r="C10" s="25"/>
      <c r="D10" s="27"/>
      <c r="E10" s="23"/>
      <c r="F10" s="23"/>
      <c r="G10" s="61"/>
      <c r="I10" s="25"/>
      <c r="J10" s="145"/>
    </row>
    <row r="11" spans="2:10" ht="30" customHeight="1" x14ac:dyDescent="0.15">
      <c r="B11" s="25"/>
      <c r="C11" s="25"/>
      <c r="D11" s="27"/>
      <c r="E11" s="23"/>
      <c r="F11" s="23"/>
      <c r="G11" s="61"/>
      <c r="I11" s="25"/>
      <c r="J11" s="145"/>
    </row>
    <row r="12" spans="2:10" ht="30" customHeight="1" x14ac:dyDescent="0.15">
      <c r="B12" s="25"/>
      <c r="C12" s="25"/>
      <c r="D12" s="27"/>
      <c r="E12" s="23"/>
      <c r="F12" s="23"/>
      <c r="G12" s="61"/>
      <c r="I12" s="25"/>
      <c r="J12" s="145"/>
    </row>
    <row r="13" spans="2:10" ht="30" customHeight="1" x14ac:dyDescent="0.15">
      <c r="B13" s="25"/>
      <c r="C13" s="25"/>
      <c r="D13" s="27"/>
      <c r="E13" s="23"/>
      <c r="F13" s="23"/>
      <c r="G13" s="61"/>
      <c r="I13" s="25"/>
      <c r="J13" s="145"/>
    </row>
    <row r="14" spans="2:10" ht="30" customHeight="1" x14ac:dyDescent="0.15">
      <c r="B14" s="25"/>
      <c r="C14" s="25"/>
      <c r="D14" s="27"/>
      <c r="E14" s="23"/>
      <c r="F14" s="23"/>
      <c r="G14" s="61"/>
      <c r="I14" s="25"/>
      <c r="J14" s="145"/>
    </row>
    <row r="15" spans="2:10" ht="30" customHeight="1" x14ac:dyDescent="0.15">
      <c r="B15" s="25"/>
      <c r="C15" s="25"/>
      <c r="D15" s="27"/>
      <c r="E15" s="23"/>
      <c r="F15" s="23"/>
      <c r="G15" s="61"/>
      <c r="I15" s="25"/>
      <c r="J15" s="145"/>
    </row>
    <row r="16" spans="2:10" ht="30" customHeight="1" x14ac:dyDescent="0.15">
      <c r="B16" s="25"/>
      <c r="C16" s="25"/>
      <c r="D16" s="27"/>
      <c r="E16" s="23"/>
      <c r="F16" s="23"/>
      <c r="G16" s="61"/>
      <c r="I16" s="25"/>
      <c r="J16" s="145"/>
    </row>
    <row r="17" spans="2:10" ht="30" customHeight="1" x14ac:dyDescent="0.15">
      <c r="B17" s="25"/>
      <c r="C17" s="25"/>
      <c r="D17" s="27"/>
      <c r="E17" s="23"/>
      <c r="F17" s="23"/>
      <c r="G17" s="61"/>
      <c r="I17" s="25"/>
      <c r="J17" s="145"/>
    </row>
    <row r="18" spans="2:10" ht="30" customHeight="1" thickBot="1" x14ac:dyDescent="0.2">
      <c r="B18" s="29"/>
      <c r="C18" s="29"/>
      <c r="D18" s="31"/>
      <c r="E18" s="32"/>
      <c r="F18" s="32"/>
      <c r="G18" s="63"/>
      <c r="I18" s="29"/>
      <c r="J18" s="146"/>
    </row>
    <row r="19" spans="2:10" ht="16.5" thickBot="1" x14ac:dyDescent="0.2"/>
    <row r="20" spans="2:10" ht="16.5" thickBot="1" x14ac:dyDescent="0.2">
      <c r="F20" s="12" t="s">
        <v>58</v>
      </c>
      <c r="G20" s="147">
        <f>SUM(G6:G9)</f>
        <v>32.418900000000001</v>
      </c>
      <c r="I20" s="12" t="s">
        <v>57</v>
      </c>
      <c r="J20" s="147">
        <f>SUM(J6:J9)</f>
        <v>3</v>
      </c>
    </row>
  </sheetData>
  <mergeCells count="6">
    <mergeCell ref="I4:I5"/>
    <mergeCell ref="J4:J5"/>
    <mergeCell ref="B4:B5"/>
    <mergeCell ref="B3:C3"/>
    <mergeCell ref="C4:C5"/>
    <mergeCell ref="D3:G3"/>
  </mergeCells>
  <phoneticPr fontId="2"/>
  <pageMargins left="0.25" right="0.25" top="0.75" bottom="0.75" header="0.3" footer="0.3"/>
  <pageSetup paperSize="9" scale="71" orientation="portrait" horizontalDpi="4294967293" verticalDpi="4294967293" r:id="rId1"/>
  <colBreaks count="1" manualBreakCount="1">
    <brk id="11" max="1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"/>
  <sheetViews>
    <sheetView workbookViewId="0"/>
  </sheetViews>
  <sheetFormatPr defaultRowHeight="18.75" x14ac:dyDescent="0.45"/>
  <cols>
    <col min="1" max="16384" width="9" style="1"/>
  </cols>
  <sheetData>
    <row r="1" spans="2:14" x14ac:dyDescent="0.45">
      <c r="D1" s="1" t="s">
        <v>217</v>
      </c>
      <c r="H1" s="1" t="s">
        <v>223</v>
      </c>
      <c r="L1" s="1" t="s">
        <v>224</v>
      </c>
    </row>
    <row r="2" spans="2:14" x14ac:dyDescent="0.45">
      <c r="B2" s="1" t="s">
        <v>1</v>
      </c>
      <c r="D2" s="1" t="s">
        <v>1</v>
      </c>
      <c r="E2" s="1" t="s">
        <v>141</v>
      </c>
      <c r="F2" s="1" t="s">
        <v>218</v>
      </c>
      <c r="H2" s="1" t="s">
        <v>1</v>
      </c>
      <c r="I2" s="1" t="s">
        <v>141</v>
      </c>
      <c r="J2" s="1" t="s">
        <v>218</v>
      </c>
      <c r="L2" s="1" t="s">
        <v>1</v>
      </c>
      <c r="M2" s="1" t="s">
        <v>141</v>
      </c>
      <c r="N2" s="1" t="s">
        <v>218</v>
      </c>
    </row>
    <row r="3" spans="2:14" x14ac:dyDescent="0.45">
      <c r="B3" s="1" t="s">
        <v>136</v>
      </c>
      <c r="D3" s="1" t="s">
        <v>136</v>
      </c>
      <c r="E3" s="1">
        <v>1</v>
      </c>
      <c r="F3" s="1" t="s">
        <v>219</v>
      </c>
      <c r="H3" s="1" t="s">
        <v>136</v>
      </c>
      <c r="I3" s="1">
        <v>1</v>
      </c>
      <c r="J3" s="1" t="s">
        <v>227</v>
      </c>
      <c r="L3" s="1" t="s">
        <v>136</v>
      </c>
      <c r="M3" s="1">
        <v>3</v>
      </c>
      <c r="N3" s="1" t="s">
        <v>225</v>
      </c>
    </row>
    <row r="4" spans="2:14" x14ac:dyDescent="0.45">
      <c r="B4" s="1" t="s">
        <v>212</v>
      </c>
      <c r="D4" s="1" t="s">
        <v>212</v>
      </c>
      <c r="E4" s="1">
        <v>1</v>
      </c>
      <c r="F4" s="1" t="s">
        <v>220</v>
      </c>
      <c r="H4" s="1" t="s">
        <v>212</v>
      </c>
      <c r="I4" s="1">
        <v>2</v>
      </c>
      <c r="J4" s="1" t="s">
        <v>228</v>
      </c>
      <c r="L4" s="1" t="s">
        <v>212</v>
      </c>
      <c r="M4" s="1">
        <v>3</v>
      </c>
      <c r="N4" s="1" t="s">
        <v>225</v>
      </c>
    </row>
    <row r="5" spans="2:14" x14ac:dyDescent="0.45">
      <c r="B5" s="1" t="s">
        <v>133</v>
      </c>
      <c r="D5" s="1" t="s">
        <v>133</v>
      </c>
      <c r="E5" s="1">
        <v>2</v>
      </c>
      <c r="F5" s="1" t="s">
        <v>222</v>
      </c>
      <c r="H5" s="1" t="s">
        <v>133</v>
      </c>
      <c r="I5" s="1">
        <v>2</v>
      </c>
      <c r="J5" s="1" t="s">
        <v>228</v>
      </c>
      <c r="L5" s="1" t="s">
        <v>133</v>
      </c>
      <c r="M5" s="1">
        <v>2</v>
      </c>
      <c r="N5" s="1" t="s">
        <v>226</v>
      </c>
    </row>
    <row r="6" spans="2:14" x14ac:dyDescent="0.45">
      <c r="B6" s="1" t="s">
        <v>213</v>
      </c>
      <c r="D6" s="1" t="s">
        <v>213</v>
      </c>
      <c r="E6" s="1">
        <v>2</v>
      </c>
      <c r="F6" s="1" t="s">
        <v>222</v>
      </c>
      <c r="H6" s="1" t="s">
        <v>213</v>
      </c>
      <c r="I6" s="1">
        <v>2</v>
      </c>
      <c r="J6" s="1" t="s">
        <v>228</v>
      </c>
      <c r="L6" s="1" t="s">
        <v>213</v>
      </c>
      <c r="M6" s="1">
        <v>2</v>
      </c>
      <c r="N6" s="1" t="s">
        <v>226</v>
      </c>
    </row>
    <row r="7" spans="2:14" x14ac:dyDescent="0.45">
      <c r="B7" s="1" t="s">
        <v>134</v>
      </c>
      <c r="D7" s="1" t="s">
        <v>134</v>
      </c>
      <c r="E7" s="1">
        <v>2</v>
      </c>
      <c r="F7" s="1" t="s">
        <v>222</v>
      </c>
      <c r="H7" s="1" t="s">
        <v>134</v>
      </c>
      <c r="I7" s="1">
        <v>2</v>
      </c>
      <c r="J7" s="1" t="s">
        <v>228</v>
      </c>
      <c r="L7" s="1" t="s">
        <v>134</v>
      </c>
      <c r="M7" s="1">
        <v>2</v>
      </c>
      <c r="N7" s="1" t="s">
        <v>226</v>
      </c>
    </row>
    <row r="8" spans="2:14" x14ac:dyDescent="0.45">
      <c r="B8" s="1" t="s">
        <v>214</v>
      </c>
      <c r="D8" s="1" t="s">
        <v>214</v>
      </c>
      <c r="E8" s="1">
        <v>2</v>
      </c>
      <c r="F8" s="1" t="s">
        <v>222</v>
      </c>
      <c r="H8" s="1" t="s">
        <v>214</v>
      </c>
      <c r="I8" s="1">
        <v>2</v>
      </c>
      <c r="J8" s="1" t="s">
        <v>228</v>
      </c>
      <c r="L8" s="1" t="s">
        <v>214</v>
      </c>
      <c r="M8" s="1">
        <v>2</v>
      </c>
      <c r="N8" s="1" t="s">
        <v>226</v>
      </c>
    </row>
    <row r="9" spans="2:14" x14ac:dyDescent="0.45">
      <c r="B9" s="1" t="s">
        <v>135</v>
      </c>
      <c r="D9" s="1" t="s">
        <v>135</v>
      </c>
      <c r="E9" s="1">
        <v>2</v>
      </c>
      <c r="F9" s="1" t="s">
        <v>222</v>
      </c>
      <c r="H9" s="1" t="s">
        <v>135</v>
      </c>
      <c r="I9" s="1">
        <v>2</v>
      </c>
      <c r="J9" s="1" t="s">
        <v>228</v>
      </c>
      <c r="L9" s="1" t="s">
        <v>135</v>
      </c>
      <c r="M9" s="1">
        <v>2</v>
      </c>
      <c r="N9" s="1" t="s">
        <v>226</v>
      </c>
    </row>
    <row r="10" spans="2:14" x14ac:dyDescent="0.45">
      <c r="B10" s="1" t="s">
        <v>215</v>
      </c>
      <c r="D10" s="1" t="s">
        <v>215</v>
      </c>
      <c r="E10" s="1">
        <v>1</v>
      </c>
      <c r="F10" s="1" t="s">
        <v>221</v>
      </c>
      <c r="H10" s="1" t="s">
        <v>215</v>
      </c>
      <c r="I10" s="1">
        <v>2</v>
      </c>
      <c r="J10" s="1" t="s">
        <v>228</v>
      </c>
      <c r="L10" s="1" t="s">
        <v>215</v>
      </c>
      <c r="M10" s="1">
        <v>3</v>
      </c>
      <c r="N10" s="1" t="s">
        <v>225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I19" sqref="I19"/>
    </sheetView>
  </sheetViews>
  <sheetFormatPr defaultRowHeight="18.75" x14ac:dyDescent="0.45"/>
  <cols>
    <col min="1" max="1" width="9" style="149"/>
    <col min="2" max="2" width="11.25" style="149" bestFit="1" customWidth="1"/>
    <col min="3" max="16384" width="9" style="149"/>
  </cols>
  <sheetData>
    <row r="2" spans="2:4" x14ac:dyDescent="0.45">
      <c r="B2" s="148" t="s">
        <v>211</v>
      </c>
      <c r="C2" s="148" t="s">
        <v>210</v>
      </c>
      <c r="D2" s="148" t="s">
        <v>209</v>
      </c>
    </row>
    <row r="3" spans="2:4" x14ac:dyDescent="0.45">
      <c r="B3" s="148">
        <v>1</v>
      </c>
      <c r="C3" s="148">
        <v>0.46</v>
      </c>
      <c r="D3" s="148" t="s">
        <v>208</v>
      </c>
    </row>
    <row r="4" spans="2:4" x14ac:dyDescent="0.45">
      <c r="B4" s="148">
        <v>2</v>
      </c>
      <c r="C4" s="148">
        <v>0.46</v>
      </c>
      <c r="D4" s="148" t="s">
        <v>208</v>
      </c>
    </row>
    <row r="5" spans="2:4" x14ac:dyDescent="0.45">
      <c r="B5" s="148">
        <v>3</v>
      </c>
      <c r="C5" s="148">
        <v>0.56000000000000005</v>
      </c>
      <c r="D5" s="148" t="s">
        <v>208</v>
      </c>
    </row>
    <row r="6" spans="2:4" x14ac:dyDescent="0.45">
      <c r="B6" s="148">
        <v>4</v>
      </c>
      <c r="C6" s="148">
        <v>0.75</v>
      </c>
      <c r="D6" s="148" t="s">
        <v>208</v>
      </c>
    </row>
    <row r="7" spans="2:4" x14ac:dyDescent="0.45">
      <c r="B7" s="148">
        <v>5</v>
      </c>
      <c r="C7" s="148">
        <v>0.87</v>
      </c>
      <c r="D7" s="148">
        <v>3</v>
      </c>
    </row>
    <row r="8" spans="2:4" x14ac:dyDescent="0.45">
      <c r="B8" s="148">
        <v>6</v>
      </c>
      <c r="C8" s="148">
        <v>0.87</v>
      </c>
      <c r="D8" s="148">
        <v>2.8</v>
      </c>
    </row>
    <row r="9" spans="2:4" x14ac:dyDescent="0.45">
      <c r="B9" s="148">
        <v>7</v>
      </c>
      <c r="C9" s="148">
        <v>0.87</v>
      </c>
      <c r="D9" s="148">
        <v>2.7</v>
      </c>
    </row>
    <row r="10" spans="2:4" x14ac:dyDescent="0.45">
      <c r="B10" s="148">
        <v>8</v>
      </c>
      <c r="C10" s="148" t="s">
        <v>208</v>
      </c>
      <c r="D10" s="148">
        <v>3.2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合計</vt:lpstr>
      <vt:lpstr>不透明な部位（窓以外・ドアを含む）</vt:lpstr>
      <vt:lpstr>透明な部位（窓）</vt:lpstr>
      <vt:lpstr>地盤</vt:lpstr>
      <vt:lpstr>(内部データ)日除け効果</vt:lpstr>
      <vt:lpstr>(内部データ)基準値</vt:lpstr>
      <vt:lpstr>合計!Print_Area</vt:lpstr>
      <vt:lpstr>地盤!Print_Area</vt:lpstr>
      <vt:lpstr>'不透明な部位（窓以外・ドアを含む）'!Print_Area</vt:lpstr>
      <vt:lpstr>方位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2016-07-28T10:39:17Z</dcterms:modified>
</cp:coreProperties>
</file>